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8800" windowHeight="11730"/>
  </bookViews>
  <sheets>
    <sheet name="Приложение к постановлению" sheetId="53" r:id="rId1"/>
  </sheets>
  <definedNames>
    <definedName name="APPT" localSheetId="0">#REF!</definedName>
    <definedName name="APPT">#REF!</definedName>
    <definedName name="BPYM" localSheetId="0">#REF!</definedName>
    <definedName name="BPYM">#REF!</definedName>
    <definedName name="ERT" localSheetId="0">#REF!</definedName>
    <definedName name="ERT">#REF!</definedName>
    <definedName name="FDC" localSheetId="0">#REF!</definedName>
    <definedName name="FDC">#REF!</definedName>
    <definedName name="FIO" localSheetId="0">#REF!</definedName>
    <definedName name="FIO">#REF!</definedName>
    <definedName name="ghj" localSheetId="0">#REF!</definedName>
    <definedName name="ghj">#REF!</definedName>
    <definedName name="HHHH" localSheetId="0">#REF!</definedName>
    <definedName name="HHHH">#REF!</definedName>
    <definedName name="KLO" localSheetId="0">#REF!</definedName>
    <definedName name="KLO">#REF!</definedName>
    <definedName name="mnb" localSheetId="0">#REF!</definedName>
    <definedName name="mnb">#REF!</definedName>
    <definedName name="poi" localSheetId="0">#REF!</definedName>
    <definedName name="poi">#REF!</definedName>
    <definedName name="rere" localSheetId="0">#REF!</definedName>
    <definedName name="rere">#REF!</definedName>
    <definedName name="SIGN" localSheetId="0">#REF!</definedName>
    <definedName name="SIGN">#REF!</definedName>
    <definedName name="vbh" localSheetId="0">#REF!</definedName>
    <definedName name="vbh">#REF!</definedName>
    <definedName name="куку" localSheetId="0">#REF!</definedName>
    <definedName name="куку">#REF!</definedName>
    <definedName name="МИХ" localSheetId="0">#REF!</definedName>
    <definedName name="МИХ">#REF!</definedName>
    <definedName name="НОВ" localSheetId="0">#REF!</definedName>
    <definedName name="НОВ">#REF!</definedName>
    <definedName name="_xlnm.Print_Area" localSheetId="0">'Приложение к постановлению'!$A$1:$I$431</definedName>
    <definedName name="ООО" localSheetId="0">#REF!</definedName>
    <definedName name="ООО">#REF!</definedName>
    <definedName name="ПР" localSheetId="0">#REF!</definedName>
    <definedName name="ПР">#REF!</definedName>
    <definedName name="ПРИЛ" localSheetId="0">#REF!</definedName>
    <definedName name="ПРИЛ">#REF!</definedName>
    <definedName name="про" localSheetId="0">#REF!</definedName>
    <definedName name="про">#REF!</definedName>
    <definedName name="ТАН" localSheetId="0">#REF!</definedName>
    <definedName name="ТАН">#REF!</definedName>
    <definedName name="таня" localSheetId="0">#REF!</definedName>
    <definedName name="таня">#REF!</definedName>
    <definedName name="ФВЫ" localSheetId="0">#REF!</definedName>
    <definedName name="ФВЫ">#REF!</definedName>
    <definedName name="щшг" localSheetId="0">#REF!</definedName>
    <definedName name="щшг">#REF!</definedName>
    <definedName name="ъэю" localSheetId="0">#REF!</definedName>
    <definedName name="ъэю">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1" i="53"/>
  <c r="H431"/>
  <c r="G431"/>
  <c r="F431"/>
  <c r="E431"/>
  <c r="D430"/>
  <c r="D428" s="1"/>
  <c r="D429" s="1"/>
  <c r="I429"/>
  <c r="I428"/>
  <c r="H428"/>
  <c r="H429" s="1"/>
  <c r="G428"/>
  <c r="G429" s="1"/>
  <c r="F428"/>
  <c r="F429" s="1"/>
  <c r="E428"/>
  <c r="E429" s="1"/>
  <c r="I426"/>
  <c r="G426"/>
  <c r="F426"/>
  <c r="E426"/>
  <c r="H425"/>
  <c r="H417" s="1"/>
  <c r="D425"/>
  <c r="D417" s="1"/>
  <c r="H424"/>
  <c r="H416" s="1"/>
  <c r="D424"/>
  <c r="D416" s="1"/>
  <c r="H423"/>
  <c r="D423" s="1"/>
  <c r="D415" s="1"/>
  <c r="H422"/>
  <c r="H414" s="1"/>
  <c r="D421"/>
  <c r="D413" s="1"/>
  <c r="D420"/>
  <c r="D419"/>
  <c r="I417"/>
  <c r="G417"/>
  <c r="F417"/>
  <c r="E417"/>
  <c r="I416"/>
  <c r="G416"/>
  <c r="F416"/>
  <c r="E416"/>
  <c r="I415"/>
  <c r="G415"/>
  <c r="F415"/>
  <c r="E415"/>
  <c r="I414"/>
  <c r="G414"/>
  <c r="F414"/>
  <c r="E414"/>
  <c r="I413"/>
  <c r="H413"/>
  <c r="G413"/>
  <c r="F413"/>
  <c r="E413"/>
  <c r="I412"/>
  <c r="H412"/>
  <c r="G412"/>
  <c r="F412"/>
  <c r="E412"/>
  <c r="D412"/>
  <c r="I411"/>
  <c r="H411"/>
  <c r="G411"/>
  <c r="F411"/>
  <c r="E411"/>
  <c r="E418" s="1"/>
  <c r="D411"/>
  <c r="I409"/>
  <c r="H409"/>
  <c r="G409"/>
  <c r="F409"/>
  <c r="E409"/>
  <c r="D408"/>
  <c r="D407"/>
  <c r="D409" s="1"/>
  <c r="I406"/>
  <c r="H406"/>
  <c r="G406"/>
  <c r="F406"/>
  <c r="E406"/>
  <c r="D405"/>
  <c r="D404"/>
  <c r="D406" s="1"/>
  <c r="I403"/>
  <c r="G403"/>
  <c r="F403"/>
  <c r="E403"/>
  <c r="H402"/>
  <c r="D402" s="1"/>
  <c r="D394" s="1"/>
  <c r="H401"/>
  <c r="H393" s="1"/>
  <c r="D401"/>
  <c r="H400"/>
  <c r="D400" s="1"/>
  <c r="D399"/>
  <c r="I398"/>
  <c r="H398"/>
  <c r="G398"/>
  <c r="F398"/>
  <c r="E398"/>
  <c r="D397"/>
  <c r="D396"/>
  <c r="D398" s="1"/>
  <c r="I394"/>
  <c r="H394"/>
  <c r="G394"/>
  <c r="F394"/>
  <c r="E394"/>
  <c r="I393"/>
  <c r="G393"/>
  <c r="F393"/>
  <c r="E393"/>
  <c r="I392"/>
  <c r="G392"/>
  <c r="F392"/>
  <c r="E392"/>
  <c r="I391"/>
  <c r="H391"/>
  <c r="G391"/>
  <c r="F391"/>
  <c r="E391"/>
  <c r="I389"/>
  <c r="F389"/>
  <c r="E389"/>
  <c r="H388"/>
  <c r="H389" s="1"/>
  <c r="G388"/>
  <c r="D388" s="1"/>
  <c r="D389" s="1"/>
  <c r="I387"/>
  <c r="F387"/>
  <c r="E387"/>
  <c r="H386"/>
  <c r="D386" s="1"/>
  <c r="G386"/>
  <c r="G387" s="1"/>
  <c r="H385"/>
  <c r="H387" s="1"/>
  <c r="D385"/>
  <c r="D387" s="1"/>
  <c r="I384"/>
  <c r="H384"/>
  <c r="G384"/>
  <c r="F384"/>
  <c r="E384"/>
  <c r="D383"/>
  <c r="D384" s="1"/>
  <c r="I382"/>
  <c r="H382"/>
  <c r="G382"/>
  <c r="F382"/>
  <c r="E382"/>
  <c r="D381"/>
  <c r="D382" s="1"/>
  <c r="I380"/>
  <c r="H380"/>
  <c r="G380"/>
  <c r="F380"/>
  <c r="E380"/>
  <c r="D379"/>
  <c r="D378"/>
  <c r="H377"/>
  <c r="D377" s="1"/>
  <c r="D376"/>
  <c r="D375"/>
  <c r="D374"/>
  <c r="D373"/>
  <c r="D357" s="1"/>
  <c r="I372"/>
  <c r="G372"/>
  <c r="F372"/>
  <c r="E372"/>
  <c r="D371"/>
  <c r="D370"/>
  <c r="D369"/>
  <c r="H368"/>
  <c r="D368" s="1"/>
  <c r="D367"/>
  <c r="D366"/>
  <c r="D358" s="1"/>
  <c r="D365"/>
  <c r="I363"/>
  <c r="H363"/>
  <c r="G363"/>
  <c r="F363"/>
  <c r="E363"/>
  <c r="D363"/>
  <c r="I362"/>
  <c r="H362"/>
  <c r="G362"/>
  <c r="F362"/>
  <c r="E362"/>
  <c r="D362" s="1"/>
  <c r="I361"/>
  <c r="H361"/>
  <c r="G361"/>
  <c r="F361"/>
  <c r="E361"/>
  <c r="I360"/>
  <c r="F360"/>
  <c r="E360"/>
  <c r="I359"/>
  <c r="H359"/>
  <c r="G359"/>
  <c r="F359"/>
  <c r="E359"/>
  <c r="I358"/>
  <c r="H358"/>
  <c r="G358"/>
  <c r="F358"/>
  <c r="E358"/>
  <c r="I357"/>
  <c r="H357"/>
  <c r="G357"/>
  <c r="F357"/>
  <c r="F364" s="1"/>
  <c r="E357"/>
  <c r="I355"/>
  <c r="G355"/>
  <c r="F355"/>
  <c r="E355"/>
  <c r="H354"/>
  <c r="D354" s="1"/>
  <c r="H353"/>
  <c r="D353" s="1"/>
  <c r="D352"/>
  <c r="I351"/>
  <c r="F351"/>
  <c r="E351"/>
  <c r="H350"/>
  <c r="H351" s="1"/>
  <c r="G350"/>
  <c r="G344" s="1"/>
  <c r="D350"/>
  <c r="D349"/>
  <c r="D348"/>
  <c r="D347"/>
  <c r="D346"/>
  <c r="I344"/>
  <c r="F344"/>
  <c r="E344"/>
  <c r="I343"/>
  <c r="G343"/>
  <c r="F343"/>
  <c r="E343"/>
  <c r="I342"/>
  <c r="H342"/>
  <c r="G342"/>
  <c r="F342"/>
  <c r="E342"/>
  <c r="I341"/>
  <c r="H341"/>
  <c r="G341"/>
  <c r="F341"/>
  <c r="E341"/>
  <c r="D341"/>
  <c r="I340"/>
  <c r="H340"/>
  <c r="G340"/>
  <c r="F340"/>
  <c r="E340"/>
  <c r="D340"/>
  <c r="I338"/>
  <c r="H338"/>
  <c r="F338"/>
  <c r="E338"/>
  <c r="G337"/>
  <c r="G315" s="1"/>
  <c r="D337"/>
  <c r="G336"/>
  <c r="D336" s="1"/>
  <c r="D338" s="1"/>
  <c r="I335"/>
  <c r="H335"/>
  <c r="F335"/>
  <c r="E335"/>
  <c r="G334"/>
  <c r="G335" s="1"/>
  <c r="I333"/>
  <c r="G333"/>
  <c r="F333"/>
  <c r="E333"/>
  <c r="H332"/>
  <c r="H314" s="1"/>
  <c r="G332"/>
  <c r="I331"/>
  <c r="H331"/>
  <c r="G331"/>
  <c r="F331"/>
  <c r="E331"/>
  <c r="D330"/>
  <c r="D313" s="1"/>
  <c r="I329"/>
  <c r="H329"/>
  <c r="G329"/>
  <c r="F329"/>
  <c r="E329"/>
  <c r="D328"/>
  <c r="D327"/>
  <c r="D326"/>
  <c r="D329" s="1"/>
  <c r="I325"/>
  <c r="H325"/>
  <c r="G325"/>
  <c r="F325"/>
  <c r="E325"/>
  <c r="D324"/>
  <c r="D323"/>
  <c r="D325" s="1"/>
  <c r="I322"/>
  <c r="G322"/>
  <c r="F322"/>
  <c r="E322"/>
  <c r="H321"/>
  <c r="D321" s="1"/>
  <c r="H320"/>
  <c r="H322" s="1"/>
  <c r="D319"/>
  <c r="D318"/>
  <c r="D317"/>
  <c r="I315"/>
  <c r="F315"/>
  <c r="E315"/>
  <c r="E181" s="1"/>
  <c r="I314"/>
  <c r="F314"/>
  <c r="E314"/>
  <c r="I313"/>
  <c r="H313"/>
  <c r="G313"/>
  <c r="F313"/>
  <c r="E313"/>
  <c r="I312"/>
  <c r="H312"/>
  <c r="G312"/>
  <c r="F312"/>
  <c r="E312"/>
  <c r="I311"/>
  <c r="H311"/>
  <c r="G311"/>
  <c r="F311"/>
  <c r="E311"/>
  <c r="I309"/>
  <c r="H309"/>
  <c r="G309"/>
  <c r="G301" s="1"/>
  <c r="F309"/>
  <c r="F301" s="1"/>
  <c r="E309"/>
  <c r="E301" s="1"/>
  <c r="D308"/>
  <c r="D307"/>
  <c r="H306"/>
  <c r="D306" s="1"/>
  <c r="D298" s="1"/>
  <c r="D305"/>
  <c r="D304"/>
  <c r="D303"/>
  <c r="D302"/>
  <c r="D309" s="1"/>
  <c r="I301"/>
  <c r="H301"/>
  <c r="I300"/>
  <c r="H300"/>
  <c r="D300" s="1"/>
  <c r="G300"/>
  <c r="F300"/>
  <c r="E300"/>
  <c r="I299"/>
  <c r="H299"/>
  <c r="G299"/>
  <c r="F299"/>
  <c r="E299"/>
  <c r="D299"/>
  <c r="I298"/>
  <c r="G298"/>
  <c r="F298"/>
  <c r="E298"/>
  <c r="I297"/>
  <c r="H297"/>
  <c r="G297"/>
  <c r="F297"/>
  <c r="E297"/>
  <c r="D297"/>
  <c r="I296"/>
  <c r="H296"/>
  <c r="G296"/>
  <c r="F296"/>
  <c r="E296"/>
  <c r="D296"/>
  <c r="I295"/>
  <c r="H295"/>
  <c r="G295"/>
  <c r="F295"/>
  <c r="E295"/>
  <c r="D295"/>
  <c r="I294"/>
  <c r="H294"/>
  <c r="G294"/>
  <c r="F294"/>
  <c r="E294"/>
  <c r="I292"/>
  <c r="H292"/>
  <c r="G292"/>
  <c r="F292"/>
  <c r="E292"/>
  <c r="D291"/>
  <c r="D290"/>
  <c r="D289"/>
  <c r="D292" s="1"/>
  <c r="I288"/>
  <c r="H288"/>
  <c r="G288"/>
  <c r="F288"/>
  <c r="E288"/>
  <c r="D288"/>
  <c r="D287"/>
  <c r="D286"/>
  <c r="D270" s="1"/>
  <c r="I285"/>
  <c r="G285"/>
  <c r="F285"/>
  <c r="E285"/>
  <c r="D284"/>
  <c r="D283"/>
  <c r="H282"/>
  <c r="D282" s="1"/>
  <c r="H281"/>
  <c r="H273" s="1"/>
  <c r="D280"/>
  <c r="D279"/>
  <c r="D278"/>
  <c r="I276"/>
  <c r="H276"/>
  <c r="G276"/>
  <c r="F276"/>
  <c r="E276"/>
  <c r="I275"/>
  <c r="H275"/>
  <c r="G275"/>
  <c r="F275"/>
  <c r="D275" s="1"/>
  <c r="E275"/>
  <c r="I274"/>
  <c r="G274"/>
  <c r="F274"/>
  <c r="E274"/>
  <c r="I273"/>
  <c r="G273"/>
  <c r="F273"/>
  <c r="F180" s="1"/>
  <c r="E273"/>
  <c r="I272"/>
  <c r="H272"/>
  <c r="G272"/>
  <c r="F272"/>
  <c r="D272" s="1"/>
  <c r="E272"/>
  <c r="I271"/>
  <c r="H271"/>
  <c r="G271"/>
  <c r="F271"/>
  <c r="E271"/>
  <c r="E277" s="1"/>
  <c r="D271"/>
  <c r="I270"/>
  <c r="H270"/>
  <c r="G270"/>
  <c r="F270"/>
  <c r="E270"/>
  <c r="I268"/>
  <c r="F268"/>
  <c r="E268"/>
  <c r="H267"/>
  <c r="H268" s="1"/>
  <c r="G267"/>
  <c r="G268" s="1"/>
  <c r="I266"/>
  <c r="H266"/>
  <c r="F266"/>
  <c r="E266"/>
  <c r="G265"/>
  <c r="D265" s="1"/>
  <c r="D266" s="1"/>
  <c r="I264"/>
  <c r="H264"/>
  <c r="F264"/>
  <c r="E264"/>
  <c r="G263"/>
  <c r="D263"/>
  <c r="G262"/>
  <c r="G264" s="1"/>
  <c r="D262"/>
  <c r="D264" s="1"/>
  <c r="I261"/>
  <c r="H261"/>
  <c r="G261"/>
  <c r="F261"/>
  <c r="E261"/>
  <c r="G260"/>
  <c r="D260" s="1"/>
  <c r="D259"/>
  <c r="D258"/>
  <c r="D257"/>
  <c r="I256"/>
  <c r="H256"/>
  <c r="G256"/>
  <c r="F256"/>
  <c r="E256"/>
  <c r="D255"/>
  <c r="H254"/>
  <c r="G254"/>
  <c r="D253"/>
  <c r="D252"/>
  <c r="D251"/>
  <c r="I250"/>
  <c r="H250"/>
  <c r="G250"/>
  <c r="F250"/>
  <c r="E250"/>
  <c r="D249"/>
  <c r="D248"/>
  <c r="D250" s="1"/>
  <c r="I247"/>
  <c r="H247"/>
  <c r="G247"/>
  <c r="F247"/>
  <c r="E247"/>
  <c r="D246"/>
  <c r="D245"/>
  <c r="D186" s="1"/>
  <c r="I244"/>
  <c r="H244"/>
  <c r="G244"/>
  <c r="F244"/>
  <c r="E244"/>
  <c r="D243"/>
  <c r="D242"/>
  <c r="D244" s="1"/>
  <c r="I241"/>
  <c r="H241"/>
  <c r="G241"/>
  <c r="F241"/>
  <c r="E241"/>
  <c r="D241"/>
  <c r="D240"/>
  <c r="D239"/>
  <c r="I238"/>
  <c r="G238"/>
  <c r="E238"/>
  <c r="H237"/>
  <c r="H238" s="1"/>
  <c r="F237"/>
  <c r="F238" s="1"/>
  <c r="D236"/>
  <c r="I235"/>
  <c r="H235"/>
  <c r="G235"/>
  <c r="F235"/>
  <c r="E235"/>
  <c r="D234"/>
  <c r="D233"/>
  <c r="D232"/>
  <c r="D231"/>
  <c r="D230"/>
  <c r="D235" s="1"/>
  <c r="I229"/>
  <c r="G229"/>
  <c r="F229"/>
  <c r="E229"/>
  <c r="H228"/>
  <c r="H192" s="1"/>
  <c r="H183" s="1"/>
  <c r="D228"/>
  <c r="H227"/>
  <c r="D227" s="1"/>
  <c r="H226"/>
  <c r="D226" s="1"/>
  <c r="D225"/>
  <c r="D224"/>
  <c r="D223"/>
  <c r="D222"/>
  <c r="I221"/>
  <c r="H221"/>
  <c r="G221"/>
  <c r="F221"/>
  <c r="E221"/>
  <c r="D220"/>
  <c r="D219"/>
  <c r="D221" s="1"/>
  <c r="D218"/>
  <c r="I217"/>
  <c r="G217"/>
  <c r="F217"/>
  <c r="E217"/>
  <c r="D216"/>
  <c r="D215"/>
  <c r="H214"/>
  <c r="D214" s="1"/>
  <c r="H213"/>
  <c r="D213" s="1"/>
  <c r="D212"/>
  <c r="D211"/>
  <c r="D210"/>
  <c r="I209"/>
  <c r="G209"/>
  <c r="F209"/>
  <c r="E209"/>
  <c r="D208"/>
  <c r="D207"/>
  <c r="H206"/>
  <c r="H205"/>
  <c r="D205"/>
  <c r="D204"/>
  <c r="D203"/>
  <c r="D202"/>
  <c r="G201"/>
  <c r="F201"/>
  <c r="E201"/>
  <c r="D200"/>
  <c r="H199"/>
  <c r="D199"/>
  <c r="I198"/>
  <c r="I190" s="1"/>
  <c r="H198"/>
  <c r="D198" s="1"/>
  <c r="H197"/>
  <c r="D196"/>
  <c r="D188" s="1"/>
  <c r="D195"/>
  <c r="D187" s="1"/>
  <c r="D194"/>
  <c r="I192"/>
  <c r="G192"/>
  <c r="F192"/>
  <c r="F183" s="1"/>
  <c r="E192"/>
  <c r="I191"/>
  <c r="G191"/>
  <c r="F191"/>
  <c r="E191"/>
  <c r="G190"/>
  <c r="F190"/>
  <c r="F181" s="1"/>
  <c r="E190"/>
  <c r="I189"/>
  <c r="F189"/>
  <c r="E189"/>
  <c r="I188"/>
  <c r="H188"/>
  <c r="H179" s="1"/>
  <c r="G188"/>
  <c r="G179" s="1"/>
  <c r="F188"/>
  <c r="F179" s="1"/>
  <c r="E188"/>
  <c r="I187"/>
  <c r="H187"/>
  <c r="G187"/>
  <c r="F187"/>
  <c r="E187"/>
  <c r="I186"/>
  <c r="H186"/>
  <c r="G186"/>
  <c r="F186"/>
  <c r="E186"/>
  <c r="E193" s="1"/>
  <c r="G183"/>
  <c r="E183"/>
  <c r="E179"/>
  <c r="G177"/>
  <c r="I175"/>
  <c r="H175"/>
  <c r="G175"/>
  <c r="F175"/>
  <c r="E175"/>
  <c r="D174"/>
  <c r="D175" s="1"/>
  <c r="I173"/>
  <c r="H173"/>
  <c r="F173"/>
  <c r="H172"/>
  <c r="G172"/>
  <c r="G173" s="1"/>
  <c r="F172"/>
  <c r="E172"/>
  <c r="E173" s="1"/>
  <c r="I171"/>
  <c r="G171"/>
  <c r="F171"/>
  <c r="E171"/>
  <c r="H170"/>
  <c r="D170" s="1"/>
  <c r="F170"/>
  <c r="D169"/>
  <c r="D168"/>
  <c r="D164" s="1"/>
  <c r="I166"/>
  <c r="H166"/>
  <c r="G166"/>
  <c r="F166"/>
  <c r="E166"/>
  <c r="I165"/>
  <c r="H165"/>
  <c r="G165"/>
  <c r="F165"/>
  <c r="E165"/>
  <c r="D165"/>
  <c r="H164"/>
  <c r="G164"/>
  <c r="F164"/>
  <c r="F145" s="1"/>
  <c r="E164"/>
  <c r="E167" s="1"/>
  <c r="I163"/>
  <c r="H163"/>
  <c r="F163"/>
  <c r="E163"/>
  <c r="G162"/>
  <c r="G163" s="1"/>
  <c r="D161"/>
  <c r="D158" s="1"/>
  <c r="I159"/>
  <c r="I147" s="1"/>
  <c r="H159"/>
  <c r="G159"/>
  <c r="F159"/>
  <c r="F147" s="1"/>
  <c r="E159"/>
  <c r="D159" s="1"/>
  <c r="H158"/>
  <c r="H160" s="1"/>
  <c r="G158"/>
  <c r="F158"/>
  <c r="E158"/>
  <c r="I157"/>
  <c r="H157"/>
  <c r="E157"/>
  <c r="G156"/>
  <c r="F156"/>
  <c r="F157" s="1"/>
  <c r="D155"/>
  <c r="I154"/>
  <c r="H154"/>
  <c r="G154"/>
  <c r="F154"/>
  <c r="E154"/>
  <c r="D153"/>
  <c r="D152"/>
  <c r="I150"/>
  <c r="H150"/>
  <c r="G150"/>
  <c r="F150"/>
  <c r="F146" s="1"/>
  <c r="E150"/>
  <c r="I149"/>
  <c r="I151" s="1"/>
  <c r="H149"/>
  <c r="G149"/>
  <c r="F149"/>
  <c r="E149"/>
  <c r="E151" s="1"/>
  <c r="I146"/>
  <c r="H146"/>
  <c r="I145"/>
  <c r="I144"/>
  <c r="H144"/>
  <c r="G144"/>
  <c r="F144"/>
  <c r="E144"/>
  <c r="D144"/>
  <c r="D143"/>
  <c r="D142"/>
  <c r="I140"/>
  <c r="I127" s="1"/>
  <c r="H140"/>
  <c r="G140"/>
  <c r="F140"/>
  <c r="F127" s="1"/>
  <c r="E140"/>
  <c r="D140" s="1"/>
  <c r="I139"/>
  <c r="H139"/>
  <c r="H141" s="1"/>
  <c r="G139"/>
  <c r="F139"/>
  <c r="E139"/>
  <c r="D139"/>
  <c r="I138"/>
  <c r="G138"/>
  <c r="F138"/>
  <c r="E138"/>
  <c r="H137"/>
  <c r="D137" s="1"/>
  <c r="D132" s="1"/>
  <c r="H136"/>
  <c r="D136" s="1"/>
  <c r="D131" s="1"/>
  <c r="D125" s="1"/>
  <c r="D135"/>
  <c r="D134"/>
  <c r="I132"/>
  <c r="G132"/>
  <c r="F132"/>
  <c r="E132"/>
  <c r="I131"/>
  <c r="I125" s="1"/>
  <c r="H131"/>
  <c r="H125" s="1"/>
  <c r="G131"/>
  <c r="F131"/>
  <c r="E131"/>
  <c r="I130"/>
  <c r="H130"/>
  <c r="G130"/>
  <c r="F130"/>
  <c r="E130"/>
  <c r="D130"/>
  <c r="I129"/>
  <c r="H129"/>
  <c r="G129"/>
  <c r="G133" s="1"/>
  <c r="F129"/>
  <c r="E129"/>
  <c r="H127"/>
  <c r="G127"/>
  <c r="I126"/>
  <c r="G126"/>
  <c r="F126"/>
  <c r="E126"/>
  <c r="G125"/>
  <c r="F125"/>
  <c r="E125"/>
  <c r="I124"/>
  <c r="H124"/>
  <c r="G124"/>
  <c r="F124"/>
  <c r="E124"/>
  <c r="D124"/>
  <c r="I123"/>
  <c r="F123"/>
  <c r="E123"/>
  <c r="I122"/>
  <c r="H122"/>
  <c r="G122"/>
  <c r="F122"/>
  <c r="E122"/>
  <c r="D121"/>
  <c r="D118" s="1"/>
  <c r="D120"/>
  <c r="D122" s="1"/>
  <c r="I118"/>
  <c r="I119" s="1"/>
  <c r="H118"/>
  <c r="G118"/>
  <c r="F118"/>
  <c r="E118"/>
  <c r="H117"/>
  <c r="H119" s="1"/>
  <c r="G117"/>
  <c r="G119" s="1"/>
  <c r="F117"/>
  <c r="E117"/>
  <c r="I116"/>
  <c r="H116"/>
  <c r="G116"/>
  <c r="F116"/>
  <c r="E116"/>
  <c r="D115"/>
  <c r="D116" s="1"/>
  <c r="D114"/>
  <c r="D111" s="1"/>
  <c r="H113"/>
  <c r="I112"/>
  <c r="I113" s="1"/>
  <c r="H112"/>
  <c r="G112"/>
  <c r="F112"/>
  <c r="F113" s="1"/>
  <c r="E112"/>
  <c r="H111"/>
  <c r="G111"/>
  <c r="F111"/>
  <c r="E111"/>
  <c r="E113" s="1"/>
  <c r="I110"/>
  <c r="H110"/>
  <c r="G110"/>
  <c r="F110"/>
  <c r="E110"/>
  <c r="D109"/>
  <c r="D110" s="1"/>
  <c r="D108"/>
  <c r="I107"/>
  <c r="H107"/>
  <c r="G107"/>
  <c r="F107"/>
  <c r="E107"/>
  <c r="D106"/>
  <c r="D105"/>
  <c r="D107" s="1"/>
  <c r="I104"/>
  <c r="H104"/>
  <c r="G104"/>
  <c r="F104"/>
  <c r="E104"/>
  <c r="D103"/>
  <c r="D102"/>
  <c r="D104" s="1"/>
  <c r="I101"/>
  <c r="H101"/>
  <c r="G101"/>
  <c r="F101"/>
  <c r="E101"/>
  <c r="D100"/>
  <c r="D99"/>
  <c r="D96" s="1"/>
  <c r="I97"/>
  <c r="H97"/>
  <c r="G97"/>
  <c r="F97"/>
  <c r="E97"/>
  <c r="I96"/>
  <c r="H96"/>
  <c r="H98" s="1"/>
  <c r="G96"/>
  <c r="G98" s="1"/>
  <c r="F96"/>
  <c r="F98" s="1"/>
  <c r="E96"/>
  <c r="E98" s="1"/>
  <c r="I95"/>
  <c r="I92" s="1"/>
  <c r="H95"/>
  <c r="H92" s="1"/>
  <c r="G95"/>
  <c r="G92" s="1"/>
  <c r="F95"/>
  <c r="F92" s="1"/>
  <c r="E95"/>
  <c r="E92" s="1"/>
  <c r="D94"/>
  <c r="D95" s="1"/>
  <c r="D93"/>
  <c r="I91"/>
  <c r="H91"/>
  <c r="G91"/>
  <c r="F91"/>
  <c r="E91"/>
  <c r="H90"/>
  <c r="G90"/>
  <c r="F90"/>
  <c r="E90"/>
  <c r="D90"/>
  <c r="I89"/>
  <c r="I86" s="1"/>
  <c r="H89"/>
  <c r="H86" s="1"/>
  <c r="G89"/>
  <c r="G86" s="1"/>
  <c r="F89"/>
  <c r="F86" s="1"/>
  <c r="E89"/>
  <c r="D89"/>
  <c r="D88"/>
  <c r="D87"/>
  <c r="E86"/>
  <c r="D86"/>
  <c r="I85"/>
  <c r="H85"/>
  <c r="G85"/>
  <c r="F85"/>
  <c r="E85"/>
  <c r="D85"/>
  <c r="I84"/>
  <c r="H84"/>
  <c r="G84"/>
  <c r="F84"/>
  <c r="E84"/>
  <c r="D84"/>
  <c r="I83"/>
  <c r="H83"/>
  <c r="G83"/>
  <c r="F83"/>
  <c r="E83"/>
  <c r="D82"/>
  <c r="D81"/>
  <c r="D83" s="1"/>
  <c r="I79"/>
  <c r="H79"/>
  <c r="H76" s="1"/>
  <c r="G79"/>
  <c r="F79"/>
  <c r="E79"/>
  <c r="E76" s="1"/>
  <c r="D79"/>
  <c r="I78"/>
  <c r="I80" s="1"/>
  <c r="H78"/>
  <c r="H80" s="1"/>
  <c r="G78"/>
  <c r="G80" s="1"/>
  <c r="F78"/>
  <c r="E78"/>
  <c r="D78"/>
  <c r="D80" s="1"/>
  <c r="G76"/>
  <c r="I75"/>
  <c r="I74"/>
  <c r="H74"/>
  <c r="G74"/>
  <c r="E74"/>
  <c r="D73"/>
  <c r="D72"/>
  <c r="F71"/>
  <c r="F74" s="1"/>
  <c r="D71"/>
  <c r="D70"/>
  <c r="D74" s="1"/>
  <c r="I69"/>
  <c r="H69"/>
  <c r="G69"/>
  <c r="E69"/>
  <c r="D68"/>
  <c r="D67"/>
  <c r="F66"/>
  <c r="D66" s="1"/>
  <c r="D69" s="1"/>
  <c r="D65"/>
  <c r="I64"/>
  <c r="F64"/>
  <c r="E64"/>
  <c r="D63"/>
  <c r="D58" s="1"/>
  <c r="D29" s="1"/>
  <c r="D62"/>
  <c r="H61"/>
  <c r="D61" s="1"/>
  <c r="D64" s="1"/>
  <c r="H60"/>
  <c r="G60"/>
  <c r="G64" s="1"/>
  <c r="D60"/>
  <c r="I58"/>
  <c r="H58"/>
  <c r="G58"/>
  <c r="F58"/>
  <c r="E58"/>
  <c r="I57"/>
  <c r="H57"/>
  <c r="G57"/>
  <c r="F57"/>
  <c r="F28" s="1"/>
  <c r="D28" s="1"/>
  <c r="E57"/>
  <c r="I56"/>
  <c r="G56"/>
  <c r="F56"/>
  <c r="E56"/>
  <c r="I55"/>
  <c r="I59" s="1"/>
  <c r="H55"/>
  <c r="G55"/>
  <c r="G59" s="1"/>
  <c r="F55"/>
  <c r="E55"/>
  <c r="E59" s="1"/>
  <c r="I54"/>
  <c r="H54"/>
  <c r="G54"/>
  <c r="F54"/>
  <c r="E54"/>
  <c r="D53"/>
  <c r="D52"/>
  <c r="D51"/>
  <c r="D50"/>
  <c r="D49"/>
  <c r="D48"/>
  <c r="D32" s="1"/>
  <c r="D24" s="1"/>
  <c r="D47"/>
  <c r="D31" s="1"/>
  <c r="I46"/>
  <c r="H46"/>
  <c r="D45"/>
  <c r="D44"/>
  <c r="G43"/>
  <c r="D43" s="1"/>
  <c r="G42"/>
  <c r="G34" s="1"/>
  <c r="G26" s="1"/>
  <c r="F42"/>
  <c r="F34" s="1"/>
  <c r="E42"/>
  <c r="D41"/>
  <c r="D40"/>
  <c r="I37"/>
  <c r="H37"/>
  <c r="G37"/>
  <c r="F37"/>
  <c r="E37"/>
  <c r="I36"/>
  <c r="H36"/>
  <c r="G36"/>
  <c r="F36"/>
  <c r="D36" s="1"/>
  <c r="E36"/>
  <c r="I35"/>
  <c r="H35"/>
  <c r="F35"/>
  <c r="E35"/>
  <c r="I34"/>
  <c r="H34"/>
  <c r="E34"/>
  <c r="I33"/>
  <c r="H33"/>
  <c r="D33" s="1"/>
  <c r="D25" s="1"/>
  <c r="G33"/>
  <c r="F33"/>
  <c r="E33"/>
  <c r="I32"/>
  <c r="H32"/>
  <c r="H24" s="1"/>
  <c r="G32"/>
  <c r="F32"/>
  <c r="E32"/>
  <c r="I31"/>
  <c r="H31"/>
  <c r="G31"/>
  <c r="F31"/>
  <c r="E31"/>
  <c r="I29"/>
  <c r="H29"/>
  <c r="G29"/>
  <c r="F29"/>
  <c r="E29"/>
  <c r="I28"/>
  <c r="H28"/>
  <c r="G28"/>
  <c r="E28"/>
  <c r="I27"/>
  <c r="F27"/>
  <c r="E27"/>
  <c r="I26"/>
  <c r="H26"/>
  <c r="E26"/>
  <c r="I25"/>
  <c r="H25"/>
  <c r="G25"/>
  <c r="F25"/>
  <c r="E25"/>
  <c r="I24"/>
  <c r="G24"/>
  <c r="F24"/>
  <c r="E24"/>
  <c r="I23"/>
  <c r="I30" s="1"/>
  <c r="H23"/>
  <c r="G23"/>
  <c r="F23"/>
  <c r="E23"/>
  <c r="D46" l="1"/>
  <c r="F59"/>
  <c r="D98"/>
  <c r="E145"/>
  <c r="E16" s="1"/>
  <c r="F18"/>
  <c r="D172"/>
  <c r="D173" s="1"/>
  <c r="I345"/>
  <c r="G418"/>
  <c r="E30"/>
  <c r="D97"/>
  <c r="F119"/>
  <c r="I133"/>
  <c r="D156"/>
  <c r="D157" s="1"/>
  <c r="G147"/>
  <c r="G145"/>
  <c r="G148" s="1"/>
  <c r="F177"/>
  <c r="H209"/>
  <c r="D247"/>
  <c r="F178"/>
  <c r="F184" s="1"/>
  <c r="D276"/>
  <c r="F148"/>
  <c r="D42"/>
  <c r="D101"/>
  <c r="H147"/>
  <c r="H167"/>
  <c r="D191"/>
  <c r="E364"/>
  <c r="D372"/>
  <c r="I418"/>
  <c r="G15"/>
  <c r="I76"/>
  <c r="H138"/>
  <c r="D149"/>
  <c r="I18"/>
  <c r="H177"/>
  <c r="F20"/>
  <c r="D192"/>
  <c r="H333"/>
  <c r="D393"/>
  <c r="E127"/>
  <c r="G157"/>
  <c r="E146"/>
  <c r="I183"/>
  <c r="I20" s="1"/>
  <c r="G182"/>
  <c r="G19" s="1"/>
  <c r="D331"/>
  <c r="D359"/>
  <c r="E80"/>
  <c r="E119"/>
  <c r="H132"/>
  <c r="H126" s="1"/>
  <c r="D126" s="1"/>
  <c r="D154"/>
  <c r="F167"/>
  <c r="E177"/>
  <c r="D177" s="1"/>
  <c r="D261"/>
  <c r="I181"/>
  <c r="D334"/>
  <c r="D335" s="1"/>
  <c r="F418"/>
  <c r="D431"/>
  <c r="H38"/>
  <c r="F80"/>
  <c r="I98"/>
  <c r="G20"/>
  <c r="E141"/>
  <c r="F151"/>
  <c r="G146"/>
  <c r="G178"/>
  <c r="I182"/>
  <c r="I19" s="1"/>
  <c r="H344"/>
  <c r="D344" s="1"/>
  <c r="I364"/>
  <c r="E395"/>
  <c r="I38"/>
  <c r="D37"/>
  <c r="H56"/>
  <c r="H27" s="1"/>
  <c r="H30" s="1"/>
  <c r="F128"/>
  <c r="F141"/>
  <c r="G151"/>
  <c r="E160"/>
  <c r="I201"/>
  <c r="D254"/>
  <c r="D256" s="1"/>
  <c r="E182"/>
  <c r="E19" s="1"/>
  <c r="I316"/>
  <c r="D355"/>
  <c r="F395"/>
  <c r="E38"/>
  <c r="F76"/>
  <c r="G113"/>
  <c r="G123"/>
  <c r="G128" s="1"/>
  <c r="G141"/>
  <c r="H151"/>
  <c r="F160"/>
  <c r="I167"/>
  <c r="G277"/>
  <c r="F182"/>
  <c r="F19" s="1"/>
  <c r="D273"/>
  <c r="I178"/>
  <c r="I180"/>
  <c r="I17" s="1"/>
  <c r="E316"/>
  <c r="G314"/>
  <c r="D314" s="1"/>
  <c r="D312"/>
  <c r="E345"/>
  <c r="D351"/>
  <c r="G395"/>
  <c r="D57"/>
  <c r="H123"/>
  <c r="H128" s="1"/>
  <c r="E133"/>
  <c r="G160"/>
  <c r="I193"/>
  <c r="I179"/>
  <c r="I16" s="1"/>
  <c r="D294"/>
  <c r="D301" s="1"/>
  <c r="F316"/>
  <c r="F345"/>
  <c r="D361"/>
  <c r="F16"/>
  <c r="D55"/>
  <c r="F69"/>
  <c r="I128"/>
  <c r="F133"/>
  <c r="I141"/>
  <c r="H171"/>
  <c r="H201"/>
  <c r="H191"/>
  <c r="H182" s="1"/>
  <c r="H19" s="1"/>
  <c r="I177"/>
  <c r="I14" s="1"/>
  <c r="E180"/>
  <c r="E17" s="1"/>
  <c r="D332"/>
  <c r="D333" s="1"/>
  <c r="D342"/>
  <c r="I395"/>
  <c r="I148"/>
  <c r="G181"/>
  <c r="D145"/>
  <c r="F38"/>
  <c r="D150"/>
  <c r="D151" s="1"/>
  <c r="D160"/>
  <c r="D146"/>
  <c r="D229"/>
  <c r="D141"/>
  <c r="D171"/>
  <c r="D166"/>
  <c r="D167" s="1"/>
  <c r="H20"/>
  <c r="D138"/>
  <c r="F26"/>
  <c r="F17" s="1"/>
  <c r="D34"/>
  <c r="D26" s="1"/>
  <c r="F15"/>
  <c r="D217"/>
  <c r="D426"/>
  <c r="D403"/>
  <c r="D23"/>
  <c r="D183"/>
  <c r="G316"/>
  <c r="G345"/>
  <c r="F277"/>
  <c r="H64"/>
  <c r="E147"/>
  <c r="E18" s="1"/>
  <c r="E178"/>
  <c r="I277"/>
  <c r="G338"/>
  <c r="G360"/>
  <c r="E46"/>
  <c r="D54"/>
  <c r="E75"/>
  <c r="F193"/>
  <c r="G266"/>
  <c r="H298"/>
  <c r="H343"/>
  <c r="D343" s="1"/>
  <c r="G351"/>
  <c r="H355"/>
  <c r="H360"/>
  <c r="H364" s="1"/>
  <c r="D380"/>
  <c r="G167"/>
  <c r="F46"/>
  <c r="F75"/>
  <c r="D117"/>
  <c r="D119" s="1"/>
  <c r="G189"/>
  <c r="H217"/>
  <c r="H285"/>
  <c r="D320"/>
  <c r="D322" s="1"/>
  <c r="G389"/>
  <c r="H190"/>
  <c r="G46"/>
  <c r="G75"/>
  <c r="D91"/>
  <c r="D129"/>
  <c r="H145"/>
  <c r="H148" s="1"/>
  <c r="I160"/>
  <c r="H189"/>
  <c r="D206"/>
  <c r="D209" s="1"/>
  <c r="H229"/>
  <c r="H315"/>
  <c r="H316" s="1"/>
  <c r="H372"/>
  <c r="H392"/>
  <c r="H395" s="1"/>
  <c r="D422"/>
  <c r="D414" s="1"/>
  <c r="D418" s="1"/>
  <c r="H426"/>
  <c r="H75"/>
  <c r="D267"/>
  <c r="D268" s="1"/>
  <c r="D281"/>
  <c r="D285" s="1"/>
  <c r="H415"/>
  <c r="H418" s="1"/>
  <c r="G35"/>
  <c r="D162"/>
  <c r="D163" s="1"/>
  <c r="D237"/>
  <c r="D238" s="1"/>
  <c r="H274"/>
  <c r="H277" s="1"/>
  <c r="D391"/>
  <c r="D112"/>
  <c r="D113" s="1"/>
  <c r="H403"/>
  <c r="D197"/>
  <c r="D189" s="1"/>
  <c r="D311"/>
  <c r="D127" l="1"/>
  <c r="E20"/>
  <c r="G16"/>
  <c r="D56"/>
  <c r="D59" s="1"/>
  <c r="D360"/>
  <c r="D364" s="1"/>
  <c r="I184"/>
  <c r="D392"/>
  <c r="D147"/>
  <c r="E128"/>
  <c r="E184"/>
  <c r="D20"/>
  <c r="H133"/>
  <c r="D345"/>
  <c r="H178"/>
  <c r="D178" s="1"/>
  <c r="D201"/>
  <c r="H59"/>
  <c r="H193"/>
  <c r="G180"/>
  <c r="G184" s="1"/>
  <c r="D75"/>
  <c r="D14" s="1"/>
  <c r="H16"/>
  <c r="D179"/>
  <c r="F30"/>
  <c r="E148"/>
  <c r="I15"/>
  <c r="I21" s="1"/>
  <c r="I77"/>
  <c r="G27"/>
  <c r="D35"/>
  <c r="D38" s="1"/>
  <c r="D182"/>
  <c r="H180"/>
  <c r="H17" s="1"/>
  <c r="G17"/>
  <c r="D315"/>
  <c r="D316" s="1"/>
  <c r="D19"/>
  <c r="F14"/>
  <c r="F21" s="1"/>
  <c r="F77"/>
  <c r="E14"/>
  <c r="E77"/>
  <c r="G193"/>
  <c r="H14"/>
  <c r="H77"/>
  <c r="D133"/>
  <c r="D123"/>
  <c r="D148"/>
  <c r="D92"/>
  <c r="D76"/>
  <c r="D77" s="1"/>
  <c r="D190"/>
  <c r="D193" s="1"/>
  <c r="G38"/>
  <c r="G364"/>
  <c r="H15"/>
  <c r="G14"/>
  <c r="G77"/>
  <c r="H345"/>
  <c r="E15"/>
  <c r="D274"/>
  <c r="D277" s="1"/>
  <c r="D395"/>
  <c r="H181"/>
  <c r="D15" l="1"/>
  <c r="D180"/>
  <c r="D17" s="1"/>
  <c r="D128"/>
  <c r="D16"/>
  <c r="E21"/>
  <c r="D181"/>
  <c r="D184" s="1"/>
  <c r="H18"/>
  <c r="H21" s="1"/>
  <c r="G18"/>
  <c r="G21" s="1"/>
  <c r="D27"/>
  <c r="G30"/>
  <c r="H184"/>
  <c r="D18" l="1"/>
  <c r="D21" s="1"/>
  <c r="D30"/>
</calcChain>
</file>

<file path=xl/sharedStrings.xml><?xml version="1.0" encoding="utf-8"?>
<sst xmlns="http://schemas.openxmlformats.org/spreadsheetml/2006/main" count="213" uniqueCount="102">
  <si>
    <t>Проектирование, строительство и реконструкция объектов водоотведения и очистки сточных вод</t>
  </si>
  <si>
    <t>Приложение №3</t>
  </si>
  <si>
    <t>к Программе</t>
  </si>
  <si>
    <t>План реализации муниципальной программы</t>
  </si>
  <si>
    <t>"Развитие жилищно-коммунального хозяйства и благоустройство территории Кингисеппского городского поселения"</t>
  </si>
  <si>
    <t>тыс.руб.</t>
  </si>
  <si>
    <t>Наименование муниципальной программы/структурного элемента/направления расходования средств</t>
  </si>
  <si>
    <t>Ответственный исполнитель, участник, соисполнитель</t>
  </si>
  <si>
    <t>Годы реализации</t>
  </si>
  <si>
    <t>Оценка расходов (тыс. руб. )</t>
  </si>
  <si>
    <t>Всего</t>
  </si>
  <si>
    <t>Федеральный бюджет</t>
  </si>
  <si>
    <t>Областной бюджет</t>
  </si>
  <si>
    <t>Бюджет муници- пального района</t>
  </si>
  <si>
    <t>Бюджет поселений</t>
  </si>
  <si>
    <t>Иные источники</t>
  </si>
  <si>
    <t>ИТОГО</t>
  </si>
  <si>
    <t>Проектная часть</t>
  </si>
  <si>
    <t>Реализация программ формирования современной городской среды</t>
  </si>
  <si>
    <t>Реализация мероприятий по строительству и реконструкции объектов водоснабжения</t>
  </si>
  <si>
    <t>Проектирование и строительство объектов инженерной и транспортной инфраструктуры</t>
  </si>
  <si>
    <t>Создание мест (площадок) накопления твердых коммунальных отходов</t>
  </si>
  <si>
    <t>Проектирование  и строительство газопроводов</t>
  </si>
  <si>
    <t>Капитальное строительство объектов газификации ( в том числе проектно-изыскательские работы)</t>
  </si>
  <si>
    <t>Приобретение жилых помещений для малоимущих граждан</t>
  </si>
  <si>
    <t>Реализация мероприятий по благоустройству дворовых территорий муниципальных образований Ленинградской области</t>
  </si>
  <si>
    <t>Отраслевой проект "Эффективное обращение с отходами производства и потребления на территории Ленинградской области"</t>
  </si>
  <si>
    <t>Реализация мероприятий по ликвидации несанкционированных свалок</t>
  </si>
  <si>
    <t>Отраслевой проект "Благоустройство общественных, дворовых пространств и цифровизация городского хозяйства"</t>
  </si>
  <si>
    <t>Отраслевой проект "Улучшение жилищных условий и обеспечение жильем отдельных категорий граждан"</t>
  </si>
  <si>
    <t>Реализация мероприятий по обеспечению жильем молодых семей</t>
  </si>
  <si>
    <t xml:space="preserve">Процессная часть </t>
  </si>
  <si>
    <t xml:space="preserve">Комплексы процессных мероприятий, итого </t>
  </si>
  <si>
    <t>Благоустройство и содержание территорий Кингисеппского городского поселения</t>
  </si>
  <si>
    <t>Ремонт и содержание объектов уличного освещения</t>
  </si>
  <si>
    <t>Организация уличного освещения</t>
  </si>
  <si>
    <t>Благоустройство территории города Кингисеппа</t>
  </si>
  <si>
    <t>Ремонт и благоустройство дворовых территорий многоквартирных домов, проездов к дворовым территориям многоквартирных домов</t>
  </si>
  <si>
    <t>Дополнительные расходы на мероприятия по благоустройству территорий поселения</t>
  </si>
  <si>
    <t>Поддержка развития общественной инфраструктуры муниципального значения</t>
  </si>
  <si>
    <t>Обеспечение устойчивого функционирования и развития коммунальной и инженерной инфраструктуры</t>
  </si>
  <si>
    <t xml:space="preserve">Благоустройство территории </t>
  </si>
  <si>
    <t>Мероприятия по сохранению и восстановлению окружающей среды</t>
  </si>
  <si>
    <t>Организация и содержание мест захоронения</t>
  </si>
  <si>
    <t>Благоустройство территории</t>
  </si>
  <si>
    <t>Обеспечение функционирования сети газоснабжения на территории Кингисеппского городского поселения</t>
  </si>
  <si>
    <t>Ремонт и содержание муниципального жилищного фонда</t>
  </si>
  <si>
    <t>Прочие мероприятия в области жилищного хозяйства</t>
  </si>
  <si>
    <t>Ремонт и содержание сетей ливневой канализации</t>
  </si>
  <si>
    <t>Создание, демонтаж и перенос  мест (площадок) накопления твердых коммунальных отходов</t>
  </si>
  <si>
    <t>Осуществление закрепленных за муниципальными образованиями законодательством полномочий</t>
  </si>
  <si>
    <t>Обеспечение деятельности (услуги, работы) муниципальных учреждений</t>
  </si>
  <si>
    <t>Проектирование, реконструкция и строительство объектов водоснабжения</t>
  </si>
  <si>
    <t>Отраслевой проект "Создание, развитие и обеспечение устойчивого функционирования объектов водоснабжения и водоотведения в Ленинградской области"</t>
  </si>
  <si>
    <t>Субсидии на мероприятия по строительству и реконструкции объектов водоснабжения (остатки средств бюджета Ленинградской области на начало текущего финансового года)</t>
  </si>
  <si>
    <t>Проектирование, строительство и реконструкция объектов, находящихся в муниципальной собственности</t>
  </si>
  <si>
    <t>Отраслевые проекты с 01.01.2024 г.</t>
  </si>
  <si>
    <t>Мероприятия, направленные на достижение целей проектов  до 31.12.2023 г.</t>
  </si>
  <si>
    <t>Мероприятия, направленные на достижение цели федерального проекта "Чистая вода" до 31.12.2023 г.</t>
  </si>
  <si>
    <t>Мероприятия, направленные на достижение цели федерального проекта "Региональная и местная дорожная сеть" до 31.12.2023 г.</t>
  </si>
  <si>
    <t>Мероприятия, направленные на достижение цели федерального проекта "Комплексная система обращения с твердыми коммунальными отходами" до 31.12.2023 г.</t>
  </si>
  <si>
    <t>Мероприятия, направленные на достижение цели федерального проекта "Содействие развитию инфраструктуры субъектов Российской Федерации (муниципальных образований)" до 31.12.2023 г.</t>
  </si>
  <si>
    <t>Мероприятия, направленные на достижение цели федерального проекта "Жилье" до 31.12.2023 г.</t>
  </si>
  <si>
    <t>Мероприятия, направленные на достижение цели федерального проекта "Формирование комфортной городской среды" до 31.12.2023 г.</t>
  </si>
  <si>
    <t>Муниципальные проекты с 01.01.2024 г.</t>
  </si>
  <si>
    <r>
      <t xml:space="preserve">Реализация мероприятий по благоустройству дворовых территорий </t>
    </r>
    <r>
      <rPr>
        <b/>
        <sz val="12"/>
        <rFont val="Times New Roman"/>
        <family val="1"/>
        <charset val="204"/>
      </rPr>
      <t>до 31.12.2023 г.</t>
    </r>
  </si>
  <si>
    <r>
      <t xml:space="preserve">Реализация мероприятий по обеспечению жильем молодых семей </t>
    </r>
    <r>
      <rPr>
        <b/>
        <sz val="12"/>
        <rFont val="Times New Roman"/>
        <family val="1"/>
        <charset val="204"/>
      </rPr>
      <t>до 31.12.2023 г.</t>
    </r>
  </si>
  <si>
    <r>
      <t>Реализация мероприятий по ликвидации несанкционированных свалок</t>
    </r>
    <r>
      <rPr>
        <b/>
        <sz val="12"/>
        <rFont val="Times New Roman"/>
        <family val="1"/>
        <charset val="204"/>
      </rPr>
      <t xml:space="preserve"> до 31.12.2023 г.</t>
    </r>
  </si>
  <si>
    <r>
      <t xml:space="preserve">Создание мест (площадок) накопления твердых коммунальных отходов </t>
    </r>
    <r>
      <rPr>
        <b/>
        <sz val="12"/>
        <rFont val="Times New Roman"/>
        <family val="1"/>
        <charset val="204"/>
      </rPr>
      <t>до 31.12.2023 г.</t>
    </r>
  </si>
  <si>
    <t>Проектирование и строительство мест захоронения</t>
  </si>
  <si>
    <t>Комплекс процессных мероприятий «Организация благоустройства территории Кингисеппского городского поселения»</t>
  </si>
  <si>
    <t>Комплекс процессных мероприятий «Организация и содержание мест захоронения»</t>
  </si>
  <si>
    <t>Комплекс процессных мероприятий «Организация газоснабжения на территории Кингисеппского городского поселения»</t>
  </si>
  <si>
    <t>Комплекс процессных мероприятий «Обеспечение жилыми помещениями отдельных категорий граждан на территории Кингисеппского городского поселения»</t>
  </si>
  <si>
    <t>Комплекс процессных мероприятий «Развитие инженерной, транспортной и социальной инфраструктуры в районах массовой жилой застройки на территории Кингисеппского городского поселения»</t>
  </si>
  <si>
    <t>Комплекс процессных мероприятий «Организация водоснабжения и водоотведения на территории Кингисеппского городского поселения»</t>
  </si>
  <si>
    <t>Комплекс процессных мероприятий «Участие в организации деятельности по накоплению и транспортированию твердых коммунальных отходов»</t>
  </si>
  <si>
    <t>Комплекс процессных мероприятий «Обеспечение условий реализации программы»</t>
  </si>
  <si>
    <t>Региональные проекты /Федеральные проекты, входящие в состав национальных проектов до 31.12.2023 г.</t>
  </si>
  <si>
    <t>Региональный проект "Формирование комфортной городской среды" /Федеральный проект "Формирование комфортной городской среды" до 31.12.2023 г.</t>
  </si>
  <si>
    <t>Муниципальный проект "Обеспечение очистки дождевых (ливневых, поверхностных) сточных вод в г.Кингисепп" /Муниципальный проект "Водоотведение и очистка сточных вод на территории Кингисеппского городского поселения" до 31.12.2024 г.</t>
  </si>
  <si>
    <t>Выполнение мероприятий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 /Выполнение мероприятий по реализации областного закона от 15.01.2018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 до 31.12.2024 года</t>
  </si>
  <si>
    <t xml:space="preserve">Дополнительные расходы на выполнение мероприятий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 </t>
  </si>
  <si>
    <t xml:space="preserve">Мероприятия по решению отдельных вопросов местного значения в целях соблюдения доли софинансирования расходных обязательств поселения </t>
  </si>
  <si>
    <t>Мероприятия по капитальному ремонту и ремонту объектов, находящихся в муниципальной собственности</t>
  </si>
  <si>
    <t>Прочие мероприятия в области водоснабжения и водоотведения на территории Кингисеппского городского поселения</t>
  </si>
  <si>
    <t xml:space="preserve">Ответственный исполнитель муниципальной программы: Первый заместитель главы администрации МО "Кингисеппский муниципальный район"; заместитель главы администрации МО "Кингисеппский муниципальный район" по ЖКХ, транспорту и дорожному хозяйству; участники(соисполнители) муниципальной программы: комитет жилищно-коммунального хозяйства администрации МО "Кингисеппский муниципальный район", комитет по транспорту и дорожному хозяйству администрации МО "Кингисеппский муниципальный район", комитет по управлению имуществом МО "Кингисеппский муниципальный район"; МКУ "Служба городского хозяйства", МКУ "Кингисеппский жилищный центр"; Комитет по безопасности администрации МО "Кингисеппский муниципальный район" </t>
  </si>
  <si>
    <t>Создание комфортной городской среды в малых городах и исторических поселениях -  победителях Всероссийского конкурса лучших проектов создания комфортной городской среды (г. Кингисепп)</t>
  </si>
  <si>
    <t>Региональный проект "Жилье"</t>
  </si>
  <si>
    <t>Обеспечение устойчивого сокращения непригодного для проживания жилищного фонда</t>
  </si>
  <si>
    <t>Обеспечение устойчивого сокращения непригодного для проживания жилищного фонда (за счет средств областного бюджета Ленинградской области)</t>
  </si>
  <si>
    <t>Обеспечение устойчивого сокращения непригодного для проживания жилищного фонда (за счет средств публично-правовой компании "Фонд развития территорий")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</si>
  <si>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(г. Кингисепп)</t>
  </si>
  <si>
    <t>Осуществление части полномочий по организации ритуальных услуг в части создания специализированной службы по вопросам похоронного дела</t>
  </si>
  <si>
    <t>Мероприятия, направленные на содействие развитию жилищно-коммунального хозяйства</t>
  </si>
  <si>
    <t>Муниципальный проект "Создание детских научных игровых площадок"</t>
  </si>
  <si>
    <t>(в редакции постановления администрации</t>
  </si>
  <si>
    <t>МО "Кингисеппский муниципальный район"</t>
  </si>
  <si>
    <t>Комплекс процессных мероприятий «Прочие мероприятия в области жилищно-коммунального хозяйства на территории Кингисеппского городского поселения»</t>
  </si>
  <si>
    <t>(Приложение)</t>
  </si>
  <si>
    <t>Прочие мероприятия в области благоустройства на территории Кингисеппского городского поселения</t>
  </si>
  <si>
    <t>от 21.05.2026 № 2059)</t>
  </si>
</sst>
</file>

<file path=xl/styles.xml><?xml version="1.0" encoding="utf-8"?>
<styleSheet xmlns="http://schemas.openxmlformats.org/spreadsheetml/2006/main">
  <numFmts count="5">
    <numFmt numFmtId="164" formatCode="_-* #,##0.00_р_._-;\-* #,##0.00_р_._-;_-* &quot;-&quot;??_р_._-;_-@_-"/>
    <numFmt numFmtId="165" formatCode="#,##0.0\ _₽"/>
    <numFmt numFmtId="166" formatCode="_-* #,##0.0_р_._-;\-* #,##0.0_р_._-;_-* &quot;-&quot;??_р_._-;_-@_-"/>
    <numFmt numFmtId="167" formatCode="#,##0.0\ _₽;\-#,##0.0\ _₽"/>
    <numFmt numFmtId="168" formatCode="#,##0.0"/>
  </numFmts>
  <fonts count="12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color indexed="12"/>
      <name val="Arial Cyr"/>
      <charset val="204"/>
    </font>
    <font>
      <b/>
      <u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4" applyFont="1" applyFill="1" applyAlignment="1">
      <alignment horizontal="left" vertical="center"/>
    </xf>
    <xf numFmtId="0" fontId="2" fillId="0" borderId="0" xfId="4" applyFont="1" applyFill="1" applyAlignment="1">
      <alignment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/>
    <xf numFmtId="0" fontId="5" fillId="0" borderId="0" xfId="4" applyFont="1" applyFill="1"/>
    <xf numFmtId="4" fontId="5" fillId="0" borderId="0" xfId="4" applyNumberFormat="1" applyFont="1" applyFill="1"/>
    <xf numFmtId="0" fontId="7" fillId="0" borderId="0" xfId="4" applyFont="1" applyFill="1" applyAlignment="1"/>
    <xf numFmtId="0" fontId="7" fillId="0" borderId="0" xfId="4" applyFont="1" applyFill="1" applyAlignment="1">
      <alignment horizontal="center"/>
    </xf>
    <xf numFmtId="0" fontId="2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wrapText="1"/>
    </xf>
    <xf numFmtId="0" fontId="9" fillId="0" borderId="0" xfId="4" applyFont="1" applyFill="1" applyBorder="1" applyAlignment="1">
      <alignment horizontal="center"/>
    </xf>
    <xf numFmtId="0" fontId="5" fillId="0" borderId="0" xfId="4" applyFont="1" applyFill="1" applyBorder="1"/>
    <xf numFmtId="0" fontId="5" fillId="0" borderId="0" xfId="4" applyFont="1" applyFill="1" applyAlignment="1">
      <alignment wrapText="1"/>
    </xf>
    <xf numFmtId="165" fontId="2" fillId="0" borderId="2" xfId="6" applyNumberFormat="1" applyFont="1" applyFill="1" applyBorder="1" applyAlignment="1">
      <alignment horizontal="center" vertical="center" wrapText="1"/>
    </xf>
    <xf numFmtId="165" fontId="6" fillId="0" borderId="2" xfId="6" applyNumberFormat="1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vertical="center" wrapText="1"/>
    </xf>
    <xf numFmtId="0" fontId="2" fillId="0" borderId="1" xfId="4" applyFont="1" applyFill="1" applyBorder="1" applyAlignment="1">
      <alignment horizontal="center" vertical="center" wrapText="1"/>
    </xf>
    <xf numFmtId="166" fontId="7" fillId="0" borderId="1" xfId="6" applyNumberFormat="1" applyFont="1" applyFill="1" applyBorder="1" applyAlignment="1">
      <alignment horizontal="center" vertical="center" wrapText="1"/>
    </xf>
    <xf numFmtId="166" fontId="2" fillId="0" borderId="1" xfId="6" applyNumberFormat="1" applyFont="1" applyFill="1" applyBorder="1" applyAlignment="1">
      <alignment horizontal="center" vertical="center" wrapText="1"/>
    </xf>
    <xf numFmtId="166" fontId="2" fillId="0" borderId="5" xfId="6" applyNumberFormat="1" applyFont="1" applyFill="1" applyBorder="1" applyAlignment="1">
      <alignment horizontal="center" vertical="center" wrapText="1"/>
    </xf>
    <xf numFmtId="167" fontId="2" fillId="0" borderId="2" xfId="6" applyNumberFormat="1" applyFont="1" applyFill="1" applyBorder="1" applyAlignment="1">
      <alignment horizontal="center" vertical="center" wrapText="1"/>
    </xf>
    <xf numFmtId="167" fontId="6" fillId="0" borderId="2" xfId="6" applyNumberFormat="1" applyFont="1" applyFill="1" applyBorder="1" applyAlignment="1">
      <alignment horizontal="center" vertical="center" wrapText="1"/>
    </xf>
    <xf numFmtId="165" fontId="6" fillId="0" borderId="2" xfId="6" applyNumberFormat="1" applyFont="1" applyFill="1" applyBorder="1" applyAlignment="1">
      <alignment horizontal="center" vertical="top" wrapText="1"/>
    </xf>
    <xf numFmtId="0" fontId="6" fillId="0" borderId="4" xfId="4" applyFont="1" applyFill="1" applyBorder="1" applyAlignment="1">
      <alignment vertical="center"/>
    </xf>
    <xf numFmtId="0" fontId="6" fillId="0" borderId="1" xfId="4" applyFont="1" applyFill="1" applyBorder="1" applyAlignment="1">
      <alignment vertical="center"/>
    </xf>
    <xf numFmtId="0" fontId="6" fillId="0" borderId="1" xfId="4" applyFont="1" applyFill="1" applyBorder="1" applyAlignment="1">
      <alignment horizontal="center" vertical="center"/>
    </xf>
    <xf numFmtId="166" fontId="6" fillId="0" borderId="1" xfId="6" applyNumberFormat="1" applyFont="1" applyFill="1" applyBorder="1" applyAlignment="1">
      <alignment horizontal="center" vertical="center" wrapText="1"/>
    </xf>
    <xf numFmtId="166" fontId="6" fillId="0" borderId="5" xfId="6" applyNumberFormat="1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top" wrapText="1"/>
    </xf>
    <xf numFmtId="0" fontId="11" fillId="0" borderId="0" xfId="4" applyFont="1" applyFill="1" applyAlignment="1"/>
    <xf numFmtId="168" fontId="6" fillId="0" borderId="2" xfId="6" applyNumberFormat="1" applyFont="1" applyFill="1" applyBorder="1" applyAlignment="1">
      <alignment horizontal="center" vertical="center" wrapText="1"/>
    </xf>
    <xf numFmtId="0" fontId="11" fillId="0" borderId="0" xfId="4" applyFont="1" applyFill="1" applyAlignment="1">
      <alignment horizontal="right"/>
    </xf>
    <xf numFmtId="0" fontId="5" fillId="0" borderId="0" xfId="4" applyFont="1" applyFill="1" applyAlignment="1">
      <alignment vertical="center"/>
    </xf>
    <xf numFmtId="0" fontId="5" fillId="0" borderId="0" xfId="4" applyFont="1" applyFill="1" applyAlignment="1">
      <alignment horizontal="right"/>
    </xf>
    <xf numFmtId="0" fontId="6" fillId="0" borderId="2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left" vertical="center"/>
    </xf>
    <xf numFmtId="0" fontId="5" fillId="0" borderId="0" xfId="4" applyFont="1" applyFill="1" applyAlignment="1">
      <alignment horizontal="right"/>
    </xf>
    <xf numFmtId="0" fontId="5" fillId="0" borderId="0" xfId="5" applyFont="1" applyFill="1" applyAlignment="1" applyProtection="1">
      <alignment horizontal="right"/>
    </xf>
    <xf numFmtId="0" fontId="11" fillId="0" borderId="0" xfId="4" applyFont="1" applyFill="1" applyAlignment="1">
      <alignment horizontal="center"/>
    </xf>
    <xf numFmtId="0" fontId="6" fillId="0" borderId="3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7" xfId="4" applyFont="1" applyFill="1" applyBorder="1" applyAlignment="1">
      <alignment horizontal="left" vertical="center" wrapText="1"/>
    </xf>
    <xf numFmtId="0" fontId="2" fillId="0" borderId="6" xfId="4" applyFont="1" applyFill="1" applyBorder="1" applyAlignment="1">
      <alignment horizontal="left" vertical="center" wrapText="1"/>
    </xf>
    <xf numFmtId="0" fontId="6" fillId="0" borderId="3" xfId="4" applyFont="1" applyFill="1" applyBorder="1" applyAlignment="1">
      <alignment horizontal="center" vertical="top" wrapText="1"/>
    </xf>
    <xf numFmtId="0" fontId="6" fillId="0" borderId="7" xfId="4" applyFont="1" applyFill="1" applyBorder="1" applyAlignment="1">
      <alignment horizontal="center" vertical="top" wrapText="1"/>
    </xf>
    <xf numFmtId="0" fontId="6" fillId="0" borderId="6" xfId="4" applyFont="1" applyFill="1" applyBorder="1" applyAlignment="1">
      <alignment horizontal="center" vertical="top" wrapText="1"/>
    </xf>
    <xf numFmtId="0" fontId="6" fillId="0" borderId="3" xfId="4" applyFont="1" applyFill="1" applyBorder="1" applyAlignment="1">
      <alignment horizontal="left" vertical="center" wrapText="1"/>
    </xf>
    <xf numFmtId="0" fontId="6" fillId="0" borderId="7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6" fillId="0" borderId="2" xfId="4" applyFont="1" applyFill="1" applyBorder="1" applyAlignment="1">
      <alignment horizontal="left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top" wrapText="1"/>
    </xf>
    <xf numFmtId="0" fontId="2" fillId="0" borderId="7" xfId="4" applyFont="1" applyFill="1" applyBorder="1" applyAlignment="1">
      <alignment horizontal="center" vertical="top" wrapText="1"/>
    </xf>
    <xf numFmtId="0" fontId="2" fillId="0" borderId="6" xfId="4" applyFont="1" applyFill="1" applyBorder="1" applyAlignment="1">
      <alignment horizontal="center" vertical="top" wrapText="1"/>
    </xf>
    <xf numFmtId="0" fontId="6" fillId="0" borderId="3" xfId="4" applyFont="1" applyFill="1" applyBorder="1" applyAlignment="1">
      <alignment horizontal="center" vertical="top"/>
    </xf>
    <xf numFmtId="0" fontId="6" fillId="0" borderId="7" xfId="4" applyFont="1" applyFill="1" applyBorder="1" applyAlignment="1">
      <alignment horizontal="center" vertical="top"/>
    </xf>
    <xf numFmtId="0" fontId="2" fillId="0" borderId="2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left" vertical="top" wrapText="1"/>
    </xf>
    <xf numFmtId="0" fontId="2" fillId="0" borderId="7" xfId="4" applyFont="1" applyFill="1" applyBorder="1" applyAlignment="1">
      <alignment horizontal="left" vertical="top" wrapText="1"/>
    </xf>
    <xf numFmtId="0" fontId="2" fillId="0" borderId="6" xfId="4" applyFont="1" applyFill="1" applyBorder="1" applyAlignment="1">
      <alignment horizontal="left" vertical="top" wrapText="1"/>
    </xf>
    <xf numFmtId="0" fontId="2" fillId="0" borderId="2" xfId="4" applyFont="1" applyFill="1" applyBorder="1" applyAlignment="1">
      <alignment horizontal="left" vertical="center" wrapText="1"/>
    </xf>
    <xf numFmtId="0" fontId="6" fillId="0" borderId="4" xfId="4" applyFont="1" applyFill="1" applyBorder="1" applyAlignment="1">
      <alignment horizontal="left" vertical="center"/>
    </xf>
    <xf numFmtId="0" fontId="6" fillId="0" borderId="1" xfId="4" applyFont="1" applyFill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/>
    </xf>
    <xf numFmtId="0" fontId="6" fillId="0" borderId="7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2" fillId="0" borderId="6" xfId="4" applyFont="1" applyFill="1" applyBorder="1" applyAlignment="1">
      <alignment horizontal="center" vertical="center" wrapText="1"/>
    </xf>
    <xf numFmtId="0" fontId="2" fillId="0" borderId="7" xfId="4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6" fillId="0" borderId="5" xfId="4" applyFont="1" applyFill="1" applyBorder="1" applyAlignment="1">
      <alignment horizontal="left" vertical="center" wrapText="1"/>
    </xf>
  </cellXfs>
  <cellStyles count="7">
    <cellStyle name="Гиперссылка" xfId="5" builtinId="8"/>
    <cellStyle name="Обычный" xfId="0" builtinId="0"/>
    <cellStyle name="Обычный 2" xfId="3"/>
    <cellStyle name="Обычный 2 2" xfId="4"/>
    <cellStyle name="Обычный 3 2" xfId="1"/>
    <cellStyle name="Обычный 3 2 2" xfId="2"/>
    <cellStyle name="Финансов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A431"/>
  <sheetViews>
    <sheetView tabSelected="1" view="pageBreakPreview" zoomScale="90" zoomScaleNormal="90" zoomScaleSheetLayoutView="90" workbookViewId="0">
      <selection activeCell="F12" sqref="F12"/>
    </sheetView>
  </sheetViews>
  <sheetFormatPr defaultRowHeight="18.75"/>
  <cols>
    <col min="1" max="1" width="38.5703125" style="1" customWidth="1"/>
    <col min="2" max="2" width="40.140625" style="2" customWidth="1"/>
    <col min="3" max="3" width="14.7109375" style="3" customWidth="1"/>
    <col min="4" max="4" width="14.7109375" style="4" customWidth="1"/>
    <col min="5" max="9" width="14.7109375" style="5" customWidth="1"/>
    <col min="10" max="209" width="9.140625" style="5"/>
    <col min="210" max="210" width="38.5703125" style="5" customWidth="1"/>
    <col min="211" max="211" width="40.140625" style="5" customWidth="1"/>
    <col min="212" max="218" width="14.7109375" style="5" customWidth="1"/>
    <col min="219" max="219" width="17.140625" style="5" customWidth="1"/>
    <col min="220" max="465" width="9.140625" style="5"/>
    <col min="466" max="466" width="38.5703125" style="5" customWidth="1"/>
    <col min="467" max="467" width="40.140625" style="5" customWidth="1"/>
    <col min="468" max="474" width="14.7109375" style="5" customWidth="1"/>
    <col min="475" max="475" width="17.140625" style="5" customWidth="1"/>
    <col min="476" max="721" width="9.140625" style="5"/>
    <col min="722" max="722" width="38.5703125" style="5" customWidth="1"/>
    <col min="723" max="723" width="40.140625" style="5" customWidth="1"/>
    <col min="724" max="730" width="14.7109375" style="5" customWidth="1"/>
    <col min="731" max="731" width="17.140625" style="5" customWidth="1"/>
    <col min="732" max="977" width="9.140625" style="5"/>
    <col min="978" max="978" width="38.5703125" style="5" customWidth="1"/>
    <col min="979" max="979" width="40.140625" style="5" customWidth="1"/>
    <col min="980" max="986" width="14.7109375" style="5" customWidth="1"/>
    <col min="987" max="987" width="17.140625" style="5" customWidth="1"/>
    <col min="988" max="1233" width="9.140625" style="5"/>
    <col min="1234" max="1234" width="38.5703125" style="5" customWidth="1"/>
    <col min="1235" max="1235" width="40.140625" style="5" customWidth="1"/>
    <col min="1236" max="1242" width="14.7109375" style="5" customWidth="1"/>
    <col min="1243" max="1243" width="17.140625" style="5" customWidth="1"/>
    <col min="1244" max="1489" width="9.140625" style="5"/>
    <col min="1490" max="1490" width="38.5703125" style="5" customWidth="1"/>
    <col min="1491" max="1491" width="40.140625" style="5" customWidth="1"/>
    <col min="1492" max="1498" width="14.7109375" style="5" customWidth="1"/>
    <col min="1499" max="1499" width="17.140625" style="5" customWidth="1"/>
    <col min="1500" max="1745" width="9.140625" style="5"/>
    <col min="1746" max="1746" width="38.5703125" style="5" customWidth="1"/>
    <col min="1747" max="1747" width="40.140625" style="5" customWidth="1"/>
    <col min="1748" max="1754" width="14.7109375" style="5" customWidth="1"/>
    <col min="1755" max="1755" width="17.140625" style="5" customWidth="1"/>
    <col min="1756" max="2001" width="9.140625" style="5"/>
    <col min="2002" max="2002" width="38.5703125" style="5" customWidth="1"/>
    <col min="2003" max="2003" width="40.140625" style="5" customWidth="1"/>
    <col min="2004" max="2010" width="14.7109375" style="5" customWidth="1"/>
    <col min="2011" max="2011" width="17.140625" style="5" customWidth="1"/>
    <col min="2012" max="2257" width="9.140625" style="5"/>
    <col min="2258" max="2258" width="38.5703125" style="5" customWidth="1"/>
    <col min="2259" max="2259" width="40.140625" style="5" customWidth="1"/>
    <col min="2260" max="2266" width="14.7109375" style="5" customWidth="1"/>
    <col min="2267" max="2267" width="17.140625" style="5" customWidth="1"/>
    <col min="2268" max="2513" width="9.140625" style="5"/>
    <col min="2514" max="2514" width="38.5703125" style="5" customWidth="1"/>
    <col min="2515" max="2515" width="40.140625" style="5" customWidth="1"/>
    <col min="2516" max="2522" width="14.7109375" style="5" customWidth="1"/>
    <col min="2523" max="2523" width="17.140625" style="5" customWidth="1"/>
    <col min="2524" max="2769" width="9.140625" style="5"/>
    <col min="2770" max="2770" width="38.5703125" style="5" customWidth="1"/>
    <col min="2771" max="2771" width="40.140625" style="5" customWidth="1"/>
    <col min="2772" max="2778" width="14.7109375" style="5" customWidth="1"/>
    <col min="2779" max="2779" width="17.140625" style="5" customWidth="1"/>
    <col min="2780" max="3025" width="9.140625" style="5"/>
    <col min="3026" max="3026" width="38.5703125" style="5" customWidth="1"/>
    <col min="3027" max="3027" width="40.140625" style="5" customWidth="1"/>
    <col min="3028" max="3034" width="14.7109375" style="5" customWidth="1"/>
    <col min="3035" max="3035" width="17.140625" style="5" customWidth="1"/>
    <col min="3036" max="3281" width="9.140625" style="5"/>
    <col min="3282" max="3282" width="38.5703125" style="5" customWidth="1"/>
    <col min="3283" max="3283" width="40.140625" style="5" customWidth="1"/>
    <col min="3284" max="3290" width="14.7109375" style="5" customWidth="1"/>
    <col min="3291" max="3291" width="17.140625" style="5" customWidth="1"/>
    <col min="3292" max="3537" width="9.140625" style="5"/>
    <col min="3538" max="3538" width="38.5703125" style="5" customWidth="1"/>
    <col min="3539" max="3539" width="40.140625" style="5" customWidth="1"/>
    <col min="3540" max="3546" width="14.7109375" style="5" customWidth="1"/>
    <col min="3547" max="3547" width="17.140625" style="5" customWidth="1"/>
    <col min="3548" max="3793" width="9.140625" style="5"/>
    <col min="3794" max="3794" width="38.5703125" style="5" customWidth="1"/>
    <col min="3795" max="3795" width="40.140625" style="5" customWidth="1"/>
    <col min="3796" max="3802" width="14.7109375" style="5" customWidth="1"/>
    <col min="3803" max="3803" width="17.140625" style="5" customWidth="1"/>
    <col min="3804" max="4049" width="9.140625" style="5"/>
    <col min="4050" max="4050" width="38.5703125" style="5" customWidth="1"/>
    <col min="4051" max="4051" width="40.140625" style="5" customWidth="1"/>
    <col min="4052" max="4058" width="14.7109375" style="5" customWidth="1"/>
    <col min="4059" max="4059" width="17.140625" style="5" customWidth="1"/>
    <col min="4060" max="4305" width="9.140625" style="5"/>
    <col min="4306" max="4306" width="38.5703125" style="5" customWidth="1"/>
    <col min="4307" max="4307" width="40.140625" style="5" customWidth="1"/>
    <col min="4308" max="4314" width="14.7109375" style="5" customWidth="1"/>
    <col min="4315" max="4315" width="17.140625" style="5" customWidth="1"/>
    <col min="4316" max="4561" width="9.140625" style="5"/>
    <col min="4562" max="4562" width="38.5703125" style="5" customWidth="1"/>
    <col min="4563" max="4563" width="40.140625" style="5" customWidth="1"/>
    <col min="4564" max="4570" width="14.7109375" style="5" customWidth="1"/>
    <col min="4571" max="4571" width="17.140625" style="5" customWidth="1"/>
    <col min="4572" max="4817" width="9.140625" style="5"/>
    <col min="4818" max="4818" width="38.5703125" style="5" customWidth="1"/>
    <col min="4819" max="4819" width="40.140625" style="5" customWidth="1"/>
    <col min="4820" max="4826" width="14.7109375" style="5" customWidth="1"/>
    <col min="4827" max="4827" width="17.140625" style="5" customWidth="1"/>
    <col min="4828" max="5073" width="9.140625" style="5"/>
    <col min="5074" max="5074" width="38.5703125" style="5" customWidth="1"/>
    <col min="5075" max="5075" width="40.140625" style="5" customWidth="1"/>
    <col min="5076" max="5082" width="14.7109375" style="5" customWidth="1"/>
    <col min="5083" max="5083" width="17.140625" style="5" customWidth="1"/>
    <col min="5084" max="5329" width="9.140625" style="5"/>
    <col min="5330" max="5330" width="38.5703125" style="5" customWidth="1"/>
    <col min="5331" max="5331" width="40.140625" style="5" customWidth="1"/>
    <col min="5332" max="5338" width="14.7109375" style="5" customWidth="1"/>
    <col min="5339" max="5339" width="17.140625" style="5" customWidth="1"/>
    <col min="5340" max="5585" width="9.140625" style="5"/>
    <col min="5586" max="5586" width="38.5703125" style="5" customWidth="1"/>
    <col min="5587" max="5587" width="40.140625" style="5" customWidth="1"/>
    <col min="5588" max="5594" width="14.7109375" style="5" customWidth="1"/>
    <col min="5595" max="5595" width="17.140625" style="5" customWidth="1"/>
    <col min="5596" max="5841" width="9.140625" style="5"/>
    <col min="5842" max="5842" width="38.5703125" style="5" customWidth="1"/>
    <col min="5843" max="5843" width="40.140625" style="5" customWidth="1"/>
    <col min="5844" max="5850" width="14.7109375" style="5" customWidth="1"/>
    <col min="5851" max="5851" width="17.140625" style="5" customWidth="1"/>
    <col min="5852" max="6097" width="9.140625" style="5"/>
    <col min="6098" max="6098" width="38.5703125" style="5" customWidth="1"/>
    <col min="6099" max="6099" width="40.140625" style="5" customWidth="1"/>
    <col min="6100" max="6106" width="14.7109375" style="5" customWidth="1"/>
    <col min="6107" max="6107" width="17.140625" style="5" customWidth="1"/>
    <col min="6108" max="6353" width="9.140625" style="5"/>
    <col min="6354" max="6354" width="38.5703125" style="5" customWidth="1"/>
    <col min="6355" max="6355" width="40.140625" style="5" customWidth="1"/>
    <col min="6356" max="6362" width="14.7109375" style="5" customWidth="1"/>
    <col min="6363" max="6363" width="17.140625" style="5" customWidth="1"/>
    <col min="6364" max="6609" width="9.140625" style="5"/>
    <col min="6610" max="6610" width="38.5703125" style="5" customWidth="1"/>
    <col min="6611" max="6611" width="40.140625" style="5" customWidth="1"/>
    <col min="6612" max="6618" width="14.7109375" style="5" customWidth="1"/>
    <col min="6619" max="6619" width="17.140625" style="5" customWidth="1"/>
    <col min="6620" max="6865" width="9.140625" style="5"/>
    <col min="6866" max="6866" width="38.5703125" style="5" customWidth="1"/>
    <col min="6867" max="6867" width="40.140625" style="5" customWidth="1"/>
    <col min="6868" max="6874" width="14.7109375" style="5" customWidth="1"/>
    <col min="6875" max="6875" width="17.140625" style="5" customWidth="1"/>
    <col min="6876" max="7121" width="9.140625" style="5"/>
    <col min="7122" max="7122" width="38.5703125" style="5" customWidth="1"/>
    <col min="7123" max="7123" width="40.140625" style="5" customWidth="1"/>
    <col min="7124" max="7130" width="14.7109375" style="5" customWidth="1"/>
    <col min="7131" max="7131" width="17.140625" style="5" customWidth="1"/>
    <col min="7132" max="7377" width="9.140625" style="5"/>
    <col min="7378" max="7378" width="38.5703125" style="5" customWidth="1"/>
    <col min="7379" max="7379" width="40.140625" style="5" customWidth="1"/>
    <col min="7380" max="7386" width="14.7109375" style="5" customWidth="1"/>
    <col min="7387" max="7387" width="17.140625" style="5" customWidth="1"/>
    <col min="7388" max="7633" width="9.140625" style="5"/>
    <col min="7634" max="7634" width="38.5703125" style="5" customWidth="1"/>
    <col min="7635" max="7635" width="40.140625" style="5" customWidth="1"/>
    <col min="7636" max="7642" width="14.7109375" style="5" customWidth="1"/>
    <col min="7643" max="7643" width="17.140625" style="5" customWidth="1"/>
    <col min="7644" max="7889" width="9.140625" style="5"/>
    <col min="7890" max="7890" width="38.5703125" style="5" customWidth="1"/>
    <col min="7891" max="7891" width="40.140625" style="5" customWidth="1"/>
    <col min="7892" max="7898" width="14.7109375" style="5" customWidth="1"/>
    <col min="7899" max="7899" width="17.140625" style="5" customWidth="1"/>
    <col min="7900" max="8145" width="9.140625" style="5"/>
    <col min="8146" max="8146" width="38.5703125" style="5" customWidth="1"/>
    <col min="8147" max="8147" width="40.140625" style="5" customWidth="1"/>
    <col min="8148" max="8154" width="14.7109375" style="5" customWidth="1"/>
    <col min="8155" max="8155" width="17.140625" style="5" customWidth="1"/>
    <col min="8156" max="8401" width="9.140625" style="5"/>
    <col min="8402" max="8402" width="38.5703125" style="5" customWidth="1"/>
    <col min="8403" max="8403" width="40.140625" style="5" customWidth="1"/>
    <col min="8404" max="8410" width="14.7109375" style="5" customWidth="1"/>
    <col min="8411" max="8411" width="17.140625" style="5" customWidth="1"/>
    <col min="8412" max="8657" width="9.140625" style="5"/>
    <col min="8658" max="8658" width="38.5703125" style="5" customWidth="1"/>
    <col min="8659" max="8659" width="40.140625" style="5" customWidth="1"/>
    <col min="8660" max="8666" width="14.7109375" style="5" customWidth="1"/>
    <col min="8667" max="8667" width="17.140625" style="5" customWidth="1"/>
    <col min="8668" max="8913" width="9.140625" style="5"/>
    <col min="8914" max="8914" width="38.5703125" style="5" customWidth="1"/>
    <col min="8915" max="8915" width="40.140625" style="5" customWidth="1"/>
    <col min="8916" max="8922" width="14.7109375" style="5" customWidth="1"/>
    <col min="8923" max="8923" width="17.140625" style="5" customWidth="1"/>
    <col min="8924" max="9169" width="9.140625" style="5"/>
    <col min="9170" max="9170" width="38.5703125" style="5" customWidth="1"/>
    <col min="9171" max="9171" width="40.140625" style="5" customWidth="1"/>
    <col min="9172" max="9178" width="14.7109375" style="5" customWidth="1"/>
    <col min="9179" max="9179" width="17.140625" style="5" customWidth="1"/>
    <col min="9180" max="9425" width="9.140625" style="5"/>
    <col min="9426" max="9426" width="38.5703125" style="5" customWidth="1"/>
    <col min="9427" max="9427" width="40.140625" style="5" customWidth="1"/>
    <col min="9428" max="9434" width="14.7109375" style="5" customWidth="1"/>
    <col min="9435" max="9435" width="17.140625" style="5" customWidth="1"/>
    <col min="9436" max="9681" width="9.140625" style="5"/>
    <col min="9682" max="9682" width="38.5703125" style="5" customWidth="1"/>
    <col min="9683" max="9683" width="40.140625" style="5" customWidth="1"/>
    <col min="9684" max="9690" width="14.7109375" style="5" customWidth="1"/>
    <col min="9691" max="9691" width="17.140625" style="5" customWidth="1"/>
    <col min="9692" max="9937" width="9.140625" style="5"/>
    <col min="9938" max="9938" width="38.5703125" style="5" customWidth="1"/>
    <col min="9939" max="9939" width="40.140625" style="5" customWidth="1"/>
    <col min="9940" max="9946" width="14.7109375" style="5" customWidth="1"/>
    <col min="9947" max="9947" width="17.140625" style="5" customWidth="1"/>
    <col min="9948" max="10193" width="9.140625" style="5"/>
    <col min="10194" max="10194" width="38.5703125" style="5" customWidth="1"/>
    <col min="10195" max="10195" width="40.140625" style="5" customWidth="1"/>
    <col min="10196" max="10202" width="14.7109375" style="5" customWidth="1"/>
    <col min="10203" max="10203" width="17.140625" style="5" customWidth="1"/>
    <col min="10204" max="10449" width="9.140625" style="5"/>
    <col min="10450" max="10450" width="38.5703125" style="5" customWidth="1"/>
    <col min="10451" max="10451" width="40.140625" style="5" customWidth="1"/>
    <col min="10452" max="10458" width="14.7109375" style="5" customWidth="1"/>
    <col min="10459" max="10459" width="17.140625" style="5" customWidth="1"/>
    <col min="10460" max="10705" width="9.140625" style="5"/>
    <col min="10706" max="10706" width="38.5703125" style="5" customWidth="1"/>
    <col min="10707" max="10707" width="40.140625" style="5" customWidth="1"/>
    <col min="10708" max="10714" width="14.7109375" style="5" customWidth="1"/>
    <col min="10715" max="10715" width="17.140625" style="5" customWidth="1"/>
    <col min="10716" max="10961" width="9.140625" style="5"/>
    <col min="10962" max="10962" width="38.5703125" style="5" customWidth="1"/>
    <col min="10963" max="10963" width="40.140625" style="5" customWidth="1"/>
    <col min="10964" max="10970" width="14.7109375" style="5" customWidth="1"/>
    <col min="10971" max="10971" width="17.140625" style="5" customWidth="1"/>
    <col min="10972" max="11217" width="9.140625" style="5"/>
    <col min="11218" max="11218" width="38.5703125" style="5" customWidth="1"/>
    <col min="11219" max="11219" width="40.140625" style="5" customWidth="1"/>
    <col min="11220" max="11226" width="14.7109375" style="5" customWidth="1"/>
    <col min="11227" max="11227" width="17.140625" style="5" customWidth="1"/>
    <col min="11228" max="11473" width="9.140625" style="5"/>
    <col min="11474" max="11474" width="38.5703125" style="5" customWidth="1"/>
    <col min="11475" max="11475" width="40.140625" style="5" customWidth="1"/>
    <col min="11476" max="11482" width="14.7109375" style="5" customWidth="1"/>
    <col min="11483" max="11483" width="17.140625" style="5" customWidth="1"/>
    <col min="11484" max="11729" width="9.140625" style="5"/>
    <col min="11730" max="11730" width="38.5703125" style="5" customWidth="1"/>
    <col min="11731" max="11731" width="40.140625" style="5" customWidth="1"/>
    <col min="11732" max="11738" width="14.7109375" style="5" customWidth="1"/>
    <col min="11739" max="11739" width="17.140625" style="5" customWidth="1"/>
    <col min="11740" max="11985" width="9.140625" style="5"/>
    <col min="11986" max="11986" width="38.5703125" style="5" customWidth="1"/>
    <col min="11987" max="11987" width="40.140625" style="5" customWidth="1"/>
    <col min="11988" max="11994" width="14.7109375" style="5" customWidth="1"/>
    <col min="11995" max="11995" width="17.140625" style="5" customWidth="1"/>
    <col min="11996" max="12241" width="9.140625" style="5"/>
    <col min="12242" max="12242" width="38.5703125" style="5" customWidth="1"/>
    <col min="12243" max="12243" width="40.140625" style="5" customWidth="1"/>
    <col min="12244" max="12250" width="14.7109375" style="5" customWidth="1"/>
    <col min="12251" max="12251" width="17.140625" style="5" customWidth="1"/>
    <col min="12252" max="12497" width="9.140625" style="5"/>
    <col min="12498" max="12498" width="38.5703125" style="5" customWidth="1"/>
    <col min="12499" max="12499" width="40.140625" style="5" customWidth="1"/>
    <col min="12500" max="12506" width="14.7109375" style="5" customWidth="1"/>
    <col min="12507" max="12507" width="17.140625" style="5" customWidth="1"/>
    <col min="12508" max="12753" width="9.140625" style="5"/>
    <col min="12754" max="12754" width="38.5703125" style="5" customWidth="1"/>
    <col min="12755" max="12755" width="40.140625" style="5" customWidth="1"/>
    <col min="12756" max="12762" width="14.7109375" style="5" customWidth="1"/>
    <col min="12763" max="12763" width="17.140625" style="5" customWidth="1"/>
    <col min="12764" max="13009" width="9.140625" style="5"/>
    <col min="13010" max="13010" width="38.5703125" style="5" customWidth="1"/>
    <col min="13011" max="13011" width="40.140625" style="5" customWidth="1"/>
    <col min="13012" max="13018" width="14.7109375" style="5" customWidth="1"/>
    <col min="13019" max="13019" width="17.140625" style="5" customWidth="1"/>
    <col min="13020" max="13265" width="9.140625" style="5"/>
    <col min="13266" max="13266" width="38.5703125" style="5" customWidth="1"/>
    <col min="13267" max="13267" width="40.140625" style="5" customWidth="1"/>
    <col min="13268" max="13274" width="14.7109375" style="5" customWidth="1"/>
    <col min="13275" max="13275" width="17.140625" style="5" customWidth="1"/>
    <col min="13276" max="13521" width="9.140625" style="5"/>
    <col min="13522" max="13522" width="38.5703125" style="5" customWidth="1"/>
    <col min="13523" max="13523" width="40.140625" style="5" customWidth="1"/>
    <col min="13524" max="13530" width="14.7109375" style="5" customWidth="1"/>
    <col min="13531" max="13531" width="17.140625" style="5" customWidth="1"/>
    <col min="13532" max="13777" width="9.140625" style="5"/>
    <col min="13778" max="13778" width="38.5703125" style="5" customWidth="1"/>
    <col min="13779" max="13779" width="40.140625" style="5" customWidth="1"/>
    <col min="13780" max="13786" width="14.7109375" style="5" customWidth="1"/>
    <col min="13787" max="13787" width="17.140625" style="5" customWidth="1"/>
    <col min="13788" max="14033" width="9.140625" style="5"/>
    <col min="14034" max="14034" width="38.5703125" style="5" customWidth="1"/>
    <col min="14035" max="14035" width="40.140625" style="5" customWidth="1"/>
    <col min="14036" max="14042" width="14.7109375" style="5" customWidth="1"/>
    <col min="14043" max="14043" width="17.140625" style="5" customWidth="1"/>
    <col min="14044" max="14289" width="9.140625" style="5"/>
    <col min="14290" max="14290" width="38.5703125" style="5" customWidth="1"/>
    <col min="14291" max="14291" width="40.140625" style="5" customWidth="1"/>
    <col min="14292" max="14298" width="14.7109375" style="5" customWidth="1"/>
    <col min="14299" max="14299" width="17.140625" style="5" customWidth="1"/>
    <col min="14300" max="14545" width="9.140625" style="5"/>
    <col min="14546" max="14546" width="38.5703125" style="5" customWidth="1"/>
    <col min="14547" max="14547" width="40.140625" style="5" customWidth="1"/>
    <col min="14548" max="14554" width="14.7109375" style="5" customWidth="1"/>
    <col min="14555" max="14555" width="17.140625" style="5" customWidth="1"/>
    <col min="14556" max="14801" width="9.140625" style="5"/>
    <col min="14802" max="14802" width="38.5703125" style="5" customWidth="1"/>
    <col min="14803" max="14803" width="40.140625" style="5" customWidth="1"/>
    <col min="14804" max="14810" width="14.7109375" style="5" customWidth="1"/>
    <col min="14811" max="14811" width="17.140625" style="5" customWidth="1"/>
    <col min="14812" max="15057" width="9.140625" style="5"/>
    <col min="15058" max="15058" width="38.5703125" style="5" customWidth="1"/>
    <col min="15059" max="15059" width="40.140625" style="5" customWidth="1"/>
    <col min="15060" max="15066" width="14.7109375" style="5" customWidth="1"/>
    <col min="15067" max="15067" width="17.140625" style="5" customWidth="1"/>
    <col min="15068" max="15313" width="9.140625" style="5"/>
    <col min="15314" max="15314" width="38.5703125" style="5" customWidth="1"/>
    <col min="15315" max="15315" width="40.140625" style="5" customWidth="1"/>
    <col min="15316" max="15322" width="14.7109375" style="5" customWidth="1"/>
    <col min="15323" max="15323" width="17.140625" style="5" customWidth="1"/>
    <col min="15324" max="15569" width="9.140625" style="5"/>
    <col min="15570" max="15570" width="38.5703125" style="5" customWidth="1"/>
    <col min="15571" max="15571" width="40.140625" style="5" customWidth="1"/>
    <col min="15572" max="15578" width="14.7109375" style="5" customWidth="1"/>
    <col min="15579" max="15579" width="17.140625" style="5" customWidth="1"/>
    <col min="15580" max="15825" width="9.140625" style="5"/>
    <col min="15826" max="15826" width="38.5703125" style="5" customWidth="1"/>
    <col min="15827" max="15827" width="40.140625" style="5" customWidth="1"/>
    <col min="15828" max="15834" width="14.7109375" style="5" customWidth="1"/>
    <col min="15835" max="15835" width="17.140625" style="5" customWidth="1"/>
    <col min="15836" max="16081" width="9.140625" style="5"/>
    <col min="16082" max="16082" width="38.5703125" style="5" customWidth="1"/>
    <col min="16083" max="16083" width="40.140625" style="5" customWidth="1"/>
    <col min="16084" max="16090" width="14.7109375" style="5" customWidth="1"/>
    <col min="16091" max="16091" width="17.140625" style="5" customWidth="1"/>
    <col min="16092" max="16384" width="9.140625" style="5"/>
  </cols>
  <sheetData>
    <row r="1" spans="1:209" ht="33" customHeight="1">
      <c r="G1" s="39" t="s">
        <v>1</v>
      </c>
      <c r="H1" s="39"/>
      <c r="I1" s="39"/>
    </row>
    <row r="2" spans="1:209">
      <c r="G2" s="40" t="s">
        <v>2</v>
      </c>
      <c r="H2" s="40"/>
      <c r="I2" s="40"/>
    </row>
    <row r="3" spans="1:209">
      <c r="F3" s="31"/>
      <c r="G3" s="31" t="s">
        <v>96</v>
      </c>
      <c r="H3" s="31"/>
      <c r="I3" s="31"/>
    </row>
    <row r="4" spans="1:209">
      <c r="F4" s="31"/>
      <c r="G4" s="31" t="s">
        <v>97</v>
      </c>
      <c r="H4" s="31"/>
      <c r="I4" s="31"/>
    </row>
    <row r="5" spans="1:209">
      <c r="F5" s="33"/>
      <c r="G5" s="41" t="s">
        <v>101</v>
      </c>
      <c r="H5" s="41"/>
      <c r="I5" s="41"/>
    </row>
    <row r="6" spans="1:209">
      <c r="F6" s="33"/>
      <c r="G6" s="41" t="s">
        <v>99</v>
      </c>
      <c r="H6" s="41"/>
      <c r="I6" s="41"/>
    </row>
    <row r="7" spans="1:209" ht="58.5" customHeight="1"/>
    <row r="8" spans="1:209">
      <c r="B8" s="7"/>
      <c r="C8" s="7"/>
      <c r="D8" s="8" t="s">
        <v>3</v>
      </c>
      <c r="E8" s="7"/>
      <c r="F8" s="7"/>
      <c r="G8" s="7"/>
      <c r="H8" s="7"/>
      <c r="I8" s="7"/>
    </row>
    <row r="9" spans="1:209">
      <c r="A9" s="9"/>
      <c r="B9" s="10"/>
      <c r="C9" s="10"/>
      <c r="D9" s="11" t="s">
        <v>4</v>
      </c>
      <c r="E9" s="10"/>
      <c r="F9" s="10"/>
      <c r="G9" s="10"/>
      <c r="H9" s="10"/>
      <c r="I9" s="10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</row>
    <row r="10" spans="1:209">
      <c r="I10" s="35" t="s">
        <v>5</v>
      </c>
    </row>
    <row r="11" spans="1:209">
      <c r="A11" s="42" t="s">
        <v>6</v>
      </c>
      <c r="B11" s="44" t="s">
        <v>7</v>
      </c>
      <c r="C11" s="44" t="s">
        <v>8</v>
      </c>
      <c r="D11" s="44" t="s">
        <v>9</v>
      </c>
      <c r="E11" s="44"/>
      <c r="F11" s="44"/>
      <c r="G11" s="44"/>
      <c r="H11" s="44"/>
      <c r="I11" s="44"/>
    </row>
    <row r="12" spans="1:209" ht="62.25" customHeight="1">
      <c r="A12" s="43"/>
      <c r="B12" s="44"/>
      <c r="C12" s="44"/>
      <c r="D12" s="29" t="s">
        <v>10</v>
      </c>
      <c r="E12" s="36" t="s">
        <v>11</v>
      </c>
      <c r="F12" s="36" t="s">
        <v>12</v>
      </c>
      <c r="G12" s="36" t="s">
        <v>13</v>
      </c>
      <c r="H12" s="36" t="s">
        <v>14</v>
      </c>
      <c r="I12" s="36" t="s">
        <v>15</v>
      </c>
    </row>
    <row r="13" spans="1:209">
      <c r="A13" s="37">
        <v>1</v>
      </c>
      <c r="B13" s="37">
        <v>2</v>
      </c>
      <c r="C13" s="37">
        <v>3</v>
      </c>
      <c r="D13" s="36">
        <v>4</v>
      </c>
      <c r="E13" s="30">
        <v>5</v>
      </c>
      <c r="F13" s="30">
        <v>6</v>
      </c>
      <c r="G13" s="30">
        <v>7</v>
      </c>
      <c r="H13" s="30">
        <v>8</v>
      </c>
      <c r="I13" s="30">
        <v>9</v>
      </c>
    </row>
    <row r="14" spans="1:209" ht="38.1" customHeight="1">
      <c r="A14" s="54" t="s">
        <v>4</v>
      </c>
      <c r="B14" s="55" t="s">
        <v>86</v>
      </c>
      <c r="C14" s="36">
        <v>2022</v>
      </c>
      <c r="D14" s="15">
        <f t="shared" ref="D14:I15" si="0">D23+D75+D177</f>
        <v>277015.59999999998</v>
      </c>
      <c r="E14" s="15">
        <f t="shared" si="0"/>
        <v>11485.4</v>
      </c>
      <c r="F14" s="15">
        <f t="shared" si="0"/>
        <v>69181.099999999991</v>
      </c>
      <c r="G14" s="15">
        <f t="shared" si="0"/>
        <v>995.7</v>
      </c>
      <c r="H14" s="15">
        <f t="shared" si="0"/>
        <v>195353.4</v>
      </c>
      <c r="I14" s="15">
        <f t="shared" si="0"/>
        <v>0</v>
      </c>
    </row>
    <row r="15" spans="1:209" ht="38.1" customHeight="1">
      <c r="A15" s="54"/>
      <c r="B15" s="55"/>
      <c r="C15" s="36">
        <v>2023</v>
      </c>
      <c r="D15" s="15">
        <f t="shared" si="0"/>
        <v>408613.69999999995</v>
      </c>
      <c r="E15" s="15">
        <f t="shared" si="0"/>
        <v>95082.099999999991</v>
      </c>
      <c r="F15" s="15">
        <f t="shared" si="0"/>
        <v>70635.700000000012</v>
      </c>
      <c r="G15" s="15">
        <f t="shared" si="0"/>
        <v>37769.4</v>
      </c>
      <c r="H15" s="15">
        <f t="shared" si="0"/>
        <v>205126.49999999997</v>
      </c>
      <c r="I15" s="15">
        <f t="shared" si="0"/>
        <v>0</v>
      </c>
    </row>
    <row r="16" spans="1:209" ht="38.1" customHeight="1">
      <c r="A16" s="54"/>
      <c r="B16" s="55"/>
      <c r="C16" s="36">
        <v>2024</v>
      </c>
      <c r="D16" s="15">
        <f t="shared" ref="D16:I18" si="1">D25+D123+D145+D179</f>
        <v>344407</v>
      </c>
      <c r="E16" s="15">
        <f t="shared" si="1"/>
        <v>5298.8</v>
      </c>
      <c r="F16" s="15">
        <f t="shared" si="1"/>
        <v>55153.399999999994</v>
      </c>
      <c r="G16" s="15">
        <f t="shared" si="1"/>
        <v>91785.599999999991</v>
      </c>
      <c r="H16" s="15">
        <f t="shared" si="1"/>
        <v>182169.2</v>
      </c>
      <c r="I16" s="15">
        <f t="shared" si="1"/>
        <v>10000</v>
      </c>
    </row>
    <row r="17" spans="1:209" ht="38.1" customHeight="1">
      <c r="A17" s="54"/>
      <c r="B17" s="55"/>
      <c r="C17" s="36">
        <v>2025</v>
      </c>
      <c r="D17" s="15">
        <f t="shared" si="1"/>
        <v>511956.69999999995</v>
      </c>
      <c r="E17" s="15">
        <f t="shared" si="1"/>
        <v>92235.9</v>
      </c>
      <c r="F17" s="15">
        <f t="shared" si="1"/>
        <v>102293.3</v>
      </c>
      <c r="G17" s="15">
        <f t="shared" si="1"/>
        <v>126159.2</v>
      </c>
      <c r="H17" s="15">
        <f t="shared" si="1"/>
        <v>184268.3</v>
      </c>
      <c r="I17" s="15">
        <f t="shared" si="1"/>
        <v>7000</v>
      </c>
    </row>
    <row r="18" spans="1:209" s="34" customFormat="1" ht="38.1" customHeight="1">
      <c r="A18" s="54"/>
      <c r="B18" s="55"/>
      <c r="C18" s="36">
        <v>2026</v>
      </c>
      <c r="D18" s="15">
        <f t="shared" si="1"/>
        <v>958151.21734000009</v>
      </c>
      <c r="E18" s="15">
        <f t="shared" si="1"/>
        <v>98603.8</v>
      </c>
      <c r="F18" s="15">
        <f t="shared" si="1"/>
        <v>272454.2</v>
      </c>
      <c r="G18" s="15">
        <f t="shared" si="1"/>
        <v>351399.21733999997</v>
      </c>
      <c r="H18" s="15">
        <f t="shared" si="1"/>
        <v>222694.00000000006</v>
      </c>
      <c r="I18" s="15">
        <f t="shared" si="1"/>
        <v>13000</v>
      </c>
    </row>
    <row r="19" spans="1:209" ht="38.1" customHeight="1">
      <c r="A19" s="54"/>
      <c r="B19" s="55"/>
      <c r="C19" s="36">
        <v>2027</v>
      </c>
      <c r="D19" s="32">
        <f>SUM(E19:I19)</f>
        <v>181142.00000000003</v>
      </c>
      <c r="E19" s="32">
        <f t="shared" ref="E19:I19" si="2">E126+E182</f>
        <v>0</v>
      </c>
      <c r="F19" s="32">
        <f t="shared" si="2"/>
        <v>0</v>
      </c>
      <c r="G19" s="32">
        <f t="shared" si="2"/>
        <v>0</v>
      </c>
      <c r="H19" s="32">
        <f t="shared" si="2"/>
        <v>181142.00000000003</v>
      </c>
      <c r="I19" s="32">
        <f t="shared" si="2"/>
        <v>0</v>
      </c>
    </row>
    <row r="20" spans="1:209" ht="38.1" customHeight="1">
      <c r="A20" s="54"/>
      <c r="B20" s="55"/>
      <c r="C20" s="36">
        <v>2028</v>
      </c>
      <c r="D20" s="32">
        <f t="shared" ref="D20:H20" si="3">D29+D127+D183</f>
        <v>241036.5</v>
      </c>
      <c r="E20" s="32">
        <f t="shared" si="3"/>
        <v>0</v>
      </c>
      <c r="F20" s="32">
        <f t="shared" si="3"/>
        <v>63387.4</v>
      </c>
      <c r="G20" s="32">
        <f t="shared" si="3"/>
        <v>0</v>
      </c>
      <c r="H20" s="32">
        <f t="shared" si="3"/>
        <v>177649.09999999998</v>
      </c>
      <c r="I20" s="32">
        <f>I29+I127+I183</f>
        <v>0</v>
      </c>
    </row>
    <row r="21" spans="1:209" ht="38.1" customHeight="1">
      <c r="A21" s="54"/>
      <c r="B21" s="55"/>
      <c r="C21" s="36" t="s">
        <v>16</v>
      </c>
      <c r="D21" s="15">
        <f>SUM(D14:D20)</f>
        <v>2922322.71734</v>
      </c>
      <c r="E21" s="15">
        <f t="shared" ref="E21:H21" si="4">SUM(E14:E20)</f>
        <v>302706</v>
      </c>
      <c r="F21" s="15">
        <f t="shared" si="4"/>
        <v>633105.1</v>
      </c>
      <c r="G21" s="15">
        <f t="shared" si="4"/>
        <v>608109.11733999988</v>
      </c>
      <c r="H21" s="15">
        <f t="shared" si="4"/>
        <v>1348402.5</v>
      </c>
      <c r="I21" s="15">
        <f>SUM(I14:I20)</f>
        <v>30000</v>
      </c>
    </row>
    <row r="22" spans="1:209">
      <c r="A22" s="24" t="s">
        <v>17</v>
      </c>
      <c r="B22" s="25"/>
      <c r="C22" s="26"/>
      <c r="D22" s="27"/>
      <c r="E22" s="27"/>
      <c r="F22" s="27"/>
      <c r="G22" s="27"/>
      <c r="H22" s="27"/>
      <c r="I22" s="28"/>
    </row>
    <row r="23" spans="1:209" ht="18.75" customHeight="1">
      <c r="A23" s="51" t="s">
        <v>78</v>
      </c>
      <c r="B23" s="48"/>
      <c r="C23" s="36">
        <v>2022</v>
      </c>
      <c r="D23" s="23">
        <f t="shared" ref="D23:I25" si="5">D31</f>
        <v>38878.399999999994</v>
      </c>
      <c r="E23" s="23">
        <f t="shared" si="5"/>
        <v>11353.3</v>
      </c>
      <c r="F23" s="23">
        <f t="shared" si="5"/>
        <v>24803.599999999999</v>
      </c>
      <c r="G23" s="23">
        <f t="shared" si="5"/>
        <v>0</v>
      </c>
      <c r="H23" s="23">
        <f t="shared" si="5"/>
        <v>2721.5</v>
      </c>
      <c r="I23" s="23">
        <f t="shared" si="5"/>
        <v>0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</row>
    <row r="24" spans="1:209">
      <c r="A24" s="52"/>
      <c r="B24" s="49"/>
      <c r="C24" s="36">
        <v>2023</v>
      </c>
      <c r="D24" s="15">
        <f t="shared" si="5"/>
        <v>151703.9</v>
      </c>
      <c r="E24" s="15">
        <f t="shared" si="5"/>
        <v>94877.9</v>
      </c>
      <c r="F24" s="15">
        <f t="shared" si="5"/>
        <v>30656.7</v>
      </c>
      <c r="G24" s="15">
        <f t="shared" si="5"/>
        <v>25000</v>
      </c>
      <c r="H24" s="15">
        <f t="shared" si="5"/>
        <v>1169.3</v>
      </c>
      <c r="I24" s="15">
        <f t="shared" si="5"/>
        <v>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</row>
    <row r="25" spans="1:209">
      <c r="A25" s="52"/>
      <c r="B25" s="49"/>
      <c r="C25" s="36">
        <v>2024</v>
      </c>
      <c r="D25" s="15">
        <f t="shared" si="5"/>
        <v>19616.400000000001</v>
      </c>
      <c r="E25" s="15">
        <f t="shared" si="5"/>
        <v>4569</v>
      </c>
      <c r="F25" s="15">
        <f t="shared" si="5"/>
        <v>10431</v>
      </c>
      <c r="G25" s="15">
        <f t="shared" si="5"/>
        <v>0</v>
      </c>
      <c r="H25" s="15">
        <f t="shared" si="5"/>
        <v>4616.3999999999996</v>
      </c>
      <c r="I25" s="15">
        <f t="shared" si="5"/>
        <v>0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</row>
    <row r="26" spans="1:209">
      <c r="A26" s="52"/>
      <c r="B26" s="49"/>
      <c r="C26" s="36">
        <v>2025</v>
      </c>
      <c r="D26" s="15">
        <f t="shared" ref="D26:I28" si="6">D34+D55</f>
        <v>221257.19999999998</v>
      </c>
      <c r="E26" s="15">
        <f t="shared" si="6"/>
        <v>91986.4</v>
      </c>
      <c r="F26" s="15">
        <f t="shared" si="6"/>
        <v>85587.3</v>
      </c>
      <c r="G26" s="15">
        <f t="shared" si="6"/>
        <v>42894.799999999996</v>
      </c>
      <c r="H26" s="15">
        <f t="shared" si="6"/>
        <v>788.7</v>
      </c>
      <c r="I26" s="15">
        <f t="shared" si="6"/>
        <v>0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</row>
    <row r="27" spans="1:209">
      <c r="A27" s="52"/>
      <c r="B27" s="49"/>
      <c r="C27" s="36">
        <v>2026</v>
      </c>
      <c r="D27" s="15">
        <f>SUM(E27:I27)</f>
        <v>512610.7</v>
      </c>
      <c r="E27" s="15">
        <f t="shared" si="6"/>
        <v>97138</v>
      </c>
      <c r="F27" s="15">
        <f t="shared" si="6"/>
        <v>229020.5</v>
      </c>
      <c r="G27" s="15">
        <f t="shared" si="6"/>
        <v>184870.5</v>
      </c>
      <c r="H27" s="15">
        <f t="shared" si="6"/>
        <v>1581.6999999999998</v>
      </c>
      <c r="I27" s="15">
        <f t="shared" si="6"/>
        <v>0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</row>
    <row r="28" spans="1:209">
      <c r="A28" s="52"/>
      <c r="B28" s="49"/>
      <c r="C28" s="36">
        <v>2027</v>
      </c>
      <c r="D28" s="15">
        <f>SUM(E28:I28)</f>
        <v>0</v>
      </c>
      <c r="E28" s="15">
        <f t="shared" si="6"/>
        <v>0</v>
      </c>
      <c r="F28" s="15">
        <f t="shared" si="6"/>
        <v>0</v>
      </c>
      <c r="G28" s="15">
        <f t="shared" si="6"/>
        <v>0</v>
      </c>
      <c r="H28" s="15">
        <f t="shared" si="6"/>
        <v>0</v>
      </c>
      <c r="I28" s="15">
        <f>I36+I57</f>
        <v>0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</row>
    <row r="29" spans="1:209">
      <c r="A29" s="52"/>
      <c r="B29" s="49"/>
      <c r="C29" s="36">
        <v>2028</v>
      </c>
      <c r="D29" s="15">
        <f t="shared" ref="D29:H29" si="7">D58</f>
        <v>64027.700000000004</v>
      </c>
      <c r="E29" s="15">
        <f t="shared" si="7"/>
        <v>0</v>
      </c>
      <c r="F29" s="15">
        <f t="shared" si="7"/>
        <v>63387.4</v>
      </c>
      <c r="G29" s="15">
        <f t="shared" si="7"/>
        <v>0</v>
      </c>
      <c r="H29" s="15">
        <f t="shared" si="7"/>
        <v>640.29999999999995</v>
      </c>
      <c r="I29" s="15">
        <f>I58</f>
        <v>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</row>
    <row r="30" spans="1:209">
      <c r="A30" s="53"/>
      <c r="B30" s="50"/>
      <c r="C30" s="36" t="s">
        <v>16</v>
      </c>
      <c r="D30" s="15">
        <f t="shared" ref="D30:H30" si="8">SUM(D23:D29)</f>
        <v>1008094.2999999999</v>
      </c>
      <c r="E30" s="15">
        <f t="shared" si="8"/>
        <v>299924.59999999998</v>
      </c>
      <c r="F30" s="15">
        <f t="shared" si="8"/>
        <v>443886.5</v>
      </c>
      <c r="G30" s="15">
        <f t="shared" si="8"/>
        <v>252765.3</v>
      </c>
      <c r="H30" s="15">
        <f t="shared" si="8"/>
        <v>11517.900000000001</v>
      </c>
      <c r="I30" s="15">
        <f>SUM(I23:I29)</f>
        <v>0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</row>
    <row r="31" spans="1:209" ht="19.5" customHeight="1">
      <c r="A31" s="51" t="s">
        <v>79</v>
      </c>
      <c r="B31" s="48"/>
      <c r="C31" s="36">
        <v>2022</v>
      </c>
      <c r="D31" s="15">
        <f t="shared" ref="D31:I37" si="9">D39+D47</f>
        <v>38878.399999999994</v>
      </c>
      <c r="E31" s="15">
        <f t="shared" si="9"/>
        <v>11353.3</v>
      </c>
      <c r="F31" s="15">
        <f t="shared" si="9"/>
        <v>24803.599999999999</v>
      </c>
      <c r="G31" s="15">
        <f t="shared" si="9"/>
        <v>0</v>
      </c>
      <c r="H31" s="15">
        <f t="shared" si="9"/>
        <v>2721.5</v>
      </c>
      <c r="I31" s="15">
        <f t="shared" si="9"/>
        <v>0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</row>
    <row r="32" spans="1:209" ht="19.5" customHeight="1">
      <c r="A32" s="52"/>
      <c r="B32" s="49"/>
      <c r="C32" s="36">
        <v>2023</v>
      </c>
      <c r="D32" s="15">
        <f t="shared" si="9"/>
        <v>151703.9</v>
      </c>
      <c r="E32" s="15">
        <f t="shared" si="9"/>
        <v>94877.9</v>
      </c>
      <c r="F32" s="15">
        <f t="shared" si="9"/>
        <v>30656.7</v>
      </c>
      <c r="G32" s="15">
        <f t="shared" si="9"/>
        <v>25000</v>
      </c>
      <c r="H32" s="15">
        <f t="shared" si="9"/>
        <v>1169.3</v>
      </c>
      <c r="I32" s="15">
        <f t="shared" si="9"/>
        <v>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</row>
    <row r="33" spans="1:209" ht="19.5" customHeight="1">
      <c r="A33" s="52"/>
      <c r="B33" s="49"/>
      <c r="C33" s="36">
        <v>2024</v>
      </c>
      <c r="D33" s="15">
        <f>SUM(E33:I33)</f>
        <v>19616.400000000001</v>
      </c>
      <c r="E33" s="15">
        <f t="shared" si="9"/>
        <v>4569</v>
      </c>
      <c r="F33" s="15">
        <f t="shared" si="9"/>
        <v>10431</v>
      </c>
      <c r="G33" s="15">
        <f t="shared" si="9"/>
        <v>0</v>
      </c>
      <c r="H33" s="15">
        <f t="shared" si="9"/>
        <v>4616.3999999999996</v>
      </c>
      <c r="I33" s="15">
        <f t="shared" si="9"/>
        <v>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</row>
    <row r="34" spans="1:209" ht="19.5" customHeight="1">
      <c r="A34" s="52"/>
      <c r="B34" s="49"/>
      <c r="C34" s="36">
        <v>2025</v>
      </c>
      <c r="D34" s="15">
        <f>SUM(E34:I34)</f>
        <v>167558.79999999999</v>
      </c>
      <c r="E34" s="15">
        <f t="shared" si="9"/>
        <v>91986.4</v>
      </c>
      <c r="F34" s="15">
        <f t="shared" si="9"/>
        <v>32515.300000000003</v>
      </c>
      <c r="G34" s="15">
        <f t="shared" si="9"/>
        <v>42358.7</v>
      </c>
      <c r="H34" s="15">
        <f t="shared" si="9"/>
        <v>698.4</v>
      </c>
      <c r="I34" s="15">
        <f t="shared" si="9"/>
        <v>0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</row>
    <row r="35" spans="1:209" ht="19.5" customHeight="1">
      <c r="A35" s="52"/>
      <c r="B35" s="49"/>
      <c r="C35" s="36">
        <v>2026</v>
      </c>
      <c r="D35" s="15">
        <f>SUM(E35:I35)</f>
        <v>354441.7</v>
      </c>
      <c r="E35" s="15">
        <f t="shared" si="9"/>
        <v>97138</v>
      </c>
      <c r="F35" s="15">
        <f t="shared" si="9"/>
        <v>72433.2</v>
      </c>
      <c r="G35" s="15">
        <f t="shared" si="9"/>
        <v>184870.5</v>
      </c>
      <c r="H35" s="15">
        <f t="shared" si="9"/>
        <v>0</v>
      </c>
      <c r="I35" s="15">
        <f t="shared" si="9"/>
        <v>0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</row>
    <row r="36" spans="1:209" ht="19.5" customHeight="1">
      <c r="A36" s="52"/>
      <c r="B36" s="49"/>
      <c r="C36" s="36">
        <v>2027</v>
      </c>
      <c r="D36" s="15">
        <f>SUM(E36:I36)</f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  <c r="I36" s="15">
        <f>I44+I52</f>
        <v>0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</row>
    <row r="37" spans="1:209" ht="19.5" customHeight="1">
      <c r="A37" s="52"/>
      <c r="B37" s="49"/>
      <c r="C37" s="36">
        <v>2028</v>
      </c>
      <c r="D37" s="15">
        <f>SUM(E37:I37)</f>
        <v>0</v>
      </c>
      <c r="E37" s="15">
        <f t="shared" si="9"/>
        <v>0</v>
      </c>
      <c r="F37" s="15">
        <f t="shared" si="9"/>
        <v>0</v>
      </c>
      <c r="G37" s="15">
        <f t="shared" si="9"/>
        <v>0</v>
      </c>
      <c r="H37" s="15">
        <f t="shared" si="9"/>
        <v>0</v>
      </c>
      <c r="I37" s="15">
        <f>I45+I53</f>
        <v>0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</row>
    <row r="38" spans="1:209" ht="19.5" customHeight="1">
      <c r="A38" s="53"/>
      <c r="B38" s="50"/>
      <c r="C38" s="36" t="s">
        <v>16</v>
      </c>
      <c r="D38" s="15">
        <f t="shared" ref="D38:H38" si="10">SUM(D31:D37)</f>
        <v>732199.2</v>
      </c>
      <c r="E38" s="15">
        <f t="shared" si="10"/>
        <v>299924.59999999998</v>
      </c>
      <c r="F38" s="15">
        <f t="shared" si="10"/>
        <v>170839.8</v>
      </c>
      <c r="G38" s="15">
        <f t="shared" si="10"/>
        <v>252229.2</v>
      </c>
      <c r="H38" s="15">
        <f t="shared" si="10"/>
        <v>9205.6</v>
      </c>
      <c r="I38" s="15">
        <f>SUM(I31:I37)</f>
        <v>0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</row>
    <row r="39" spans="1:209" ht="19.5" customHeight="1">
      <c r="A39" s="45" t="s">
        <v>92</v>
      </c>
      <c r="B39" s="48"/>
      <c r="C39" s="37">
        <v>2022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spans="1:209" ht="19.5" customHeight="1">
      <c r="A40" s="46"/>
      <c r="B40" s="49"/>
      <c r="C40" s="37">
        <v>2023</v>
      </c>
      <c r="D40" s="14">
        <f>SUM(E40:I40)</f>
        <v>135000</v>
      </c>
      <c r="E40" s="14">
        <v>90000</v>
      </c>
      <c r="F40" s="14">
        <v>20000</v>
      </c>
      <c r="G40" s="14">
        <v>25000</v>
      </c>
      <c r="H40" s="14">
        <v>0</v>
      </c>
      <c r="I40" s="14">
        <v>0</v>
      </c>
    </row>
    <row r="41" spans="1:209" ht="19.5" customHeight="1">
      <c r="A41" s="46"/>
      <c r="B41" s="49"/>
      <c r="C41" s="37">
        <v>2024</v>
      </c>
      <c r="D41" s="14">
        <f>SUM(E41:I41)</f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</row>
    <row r="42" spans="1:209" ht="19.5" customHeight="1">
      <c r="A42" s="46"/>
      <c r="B42" s="49"/>
      <c r="C42" s="37">
        <v>2025</v>
      </c>
      <c r="D42" s="14">
        <f>SUM(E42:I42)</f>
        <v>146230.79999999999</v>
      </c>
      <c r="E42" s="14">
        <f>90235.3-3874.8</f>
        <v>86360.5</v>
      </c>
      <c r="F42" s="14">
        <f>20000-858.8-0.1+0.1</f>
        <v>19141.2</v>
      </c>
      <c r="G42" s="14">
        <f>42556.5-1827.4</f>
        <v>40729.1</v>
      </c>
      <c r="H42" s="14">
        <v>0</v>
      </c>
      <c r="I42" s="14">
        <v>0</v>
      </c>
    </row>
    <row r="43" spans="1:209" ht="19.5" customHeight="1">
      <c r="A43" s="46"/>
      <c r="B43" s="49"/>
      <c r="C43" s="37">
        <v>2026</v>
      </c>
      <c r="D43" s="14">
        <f>SUM(E43:I43)</f>
        <v>324000</v>
      </c>
      <c r="E43" s="14">
        <v>91848.4</v>
      </c>
      <c r="F43" s="14">
        <v>58722.8</v>
      </c>
      <c r="G43" s="14">
        <f>177000-3571.2</f>
        <v>173428.8</v>
      </c>
      <c r="H43" s="14">
        <v>0</v>
      </c>
      <c r="I43" s="14">
        <v>0</v>
      </c>
    </row>
    <row r="44" spans="1:209" ht="19.5" customHeight="1">
      <c r="A44" s="46"/>
      <c r="B44" s="49"/>
      <c r="C44" s="37">
        <v>2027</v>
      </c>
      <c r="D44" s="14">
        <f t="shared" ref="D44:D45" si="11">SUM(E44:I44)</f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</row>
    <row r="45" spans="1:209" ht="19.5" customHeight="1">
      <c r="A45" s="46"/>
      <c r="B45" s="49"/>
      <c r="C45" s="37">
        <v>2028</v>
      </c>
      <c r="D45" s="14">
        <f t="shared" si="11"/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</row>
    <row r="46" spans="1:209" ht="19.5" customHeight="1">
      <c r="A46" s="47"/>
      <c r="B46" s="50"/>
      <c r="C46" s="37" t="s">
        <v>16</v>
      </c>
      <c r="D46" s="14">
        <f t="shared" ref="D46:H46" si="12">SUM(D39:D45)</f>
        <v>605230.80000000005</v>
      </c>
      <c r="E46" s="14">
        <f t="shared" si="12"/>
        <v>268208.90000000002</v>
      </c>
      <c r="F46" s="14">
        <f t="shared" si="12"/>
        <v>97864</v>
      </c>
      <c r="G46" s="14">
        <f t="shared" si="12"/>
        <v>239157.9</v>
      </c>
      <c r="H46" s="14">
        <f t="shared" si="12"/>
        <v>0</v>
      </c>
      <c r="I46" s="14">
        <f>SUM(I39:I45)</f>
        <v>0</v>
      </c>
    </row>
    <row r="47" spans="1:209" ht="18.75" customHeight="1">
      <c r="A47" s="45" t="s">
        <v>18</v>
      </c>
      <c r="B47" s="48"/>
      <c r="C47" s="37">
        <v>2022</v>
      </c>
      <c r="D47" s="14">
        <f t="shared" ref="D47:D50" si="13">SUM(E47:I47)</f>
        <v>38878.399999999994</v>
      </c>
      <c r="E47" s="14">
        <v>11353.3</v>
      </c>
      <c r="F47" s="14">
        <v>24803.599999999999</v>
      </c>
      <c r="G47" s="14">
        <v>0</v>
      </c>
      <c r="H47" s="14">
        <v>2721.5</v>
      </c>
      <c r="I47" s="14">
        <v>0</v>
      </c>
    </row>
    <row r="48" spans="1:209">
      <c r="A48" s="46"/>
      <c r="B48" s="49"/>
      <c r="C48" s="37">
        <v>2023</v>
      </c>
      <c r="D48" s="14">
        <f t="shared" si="13"/>
        <v>16703.900000000001</v>
      </c>
      <c r="E48" s="14">
        <v>4877.8999999999996</v>
      </c>
      <c r="F48" s="14">
        <v>10656.7</v>
      </c>
      <c r="G48" s="14">
        <v>0</v>
      </c>
      <c r="H48" s="14">
        <v>1169.3</v>
      </c>
      <c r="I48" s="14">
        <v>0</v>
      </c>
    </row>
    <row r="49" spans="1:209">
      <c r="A49" s="46"/>
      <c r="B49" s="49"/>
      <c r="C49" s="37">
        <v>2024</v>
      </c>
      <c r="D49" s="14">
        <f t="shared" si="13"/>
        <v>19616.400000000001</v>
      </c>
      <c r="E49" s="14">
        <v>4569</v>
      </c>
      <c r="F49" s="14">
        <v>10431</v>
      </c>
      <c r="G49" s="14">
        <v>0</v>
      </c>
      <c r="H49" s="14">
        <v>4616.3999999999996</v>
      </c>
      <c r="I49" s="14">
        <v>0</v>
      </c>
    </row>
    <row r="50" spans="1:209">
      <c r="A50" s="46"/>
      <c r="B50" s="49"/>
      <c r="C50" s="37">
        <v>2025</v>
      </c>
      <c r="D50" s="14">
        <f t="shared" si="13"/>
        <v>21328</v>
      </c>
      <c r="E50" s="14">
        <v>5625.9</v>
      </c>
      <c r="F50" s="14">
        <v>13374.1</v>
      </c>
      <c r="G50" s="14">
        <v>1629.6</v>
      </c>
      <c r="H50" s="14">
        <v>698.4</v>
      </c>
      <c r="I50" s="14">
        <v>0</v>
      </c>
    </row>
    <row r="51" spans="1:209">
      <c r="A51" s="46"/>
      <c r="B51" s="49"/>
      <c r="C51" s="37">
        <v>2026</v>
      </c>
      <c r="D51" s="14">
        <f>SUM(E51:I51)</f>
        <v>30441.7</v>
      </c>
      <c r="E51" s="14">
        <v>5289.6</v>
      </c>
      <c r="F51" s="14">
        <v>13710.4</v>
      </c>
      <c r="G51" s="14">
        <v>11441.7</v>
      </c>
      <c r="H51" s="14">
        <v>0</v>
      </c>
      <c r="I51" s="14">
        <v>0</v>
      </c>
    </row>
    <row r="52" spans="1:209">
      <c r="A52" s="46"/>
      <c r="B52" s="49"/>
      <c r="C52" s="37">
        <v>2027</v>
      </c>
      <c r="D52" s="14">
        <f t="shared" ref="D52:D53" si="14">SUM(E52:I52)</f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</row>
    <row r="53" spans="1:209">
      <c r="A53" s="46"/>
      <c r="B53" s="49"/>
      <c r="C53" s="37">
        <v>2028</v>
      </c>
      <c r="D53" s="14">
        <f t="shared" si="14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</row>
    <row r="54" spans="1:209">
      <c r="A54" s="47"/>
      <c r="B54" s="50"/>
      <c r="C54" s="37" t="s">
        <v>16</v>
      </c>
      <c r="D54" s="14">
        <f t="shared" ref="D54:H54" si="15">SUM(D47:D53)</f>
        <v>126968.4</v>
      </c>
      <c r="E54" s="14">
        <f t="shared" si="15"/>
        <v>31715.699999999997</v>
      </c>
      <c r="F54" s="14">
        <f t="shared" si="15"/>
        <v>72975.8</v>
      </c>
      <c r="G54" s="14">
        <f t="shared" si="15"/>
        <v>13071.300000000001</v>
      </c>
      <c r="H54" s="14">
        <f t="shared" si="15"/>
        <v>9205.6</v>
      </c>
      <c r="I54" s="14">
        <f>SUM(I47:I53)</f>
        <v>0</v>
      </c>
    </row>
    <row r="55" spans="1:209" ht="19.5" customHeight="1">
      <c r="A55" s="51" t="s">
        <v>88</v>
      </c>
      <c r="B55" s="49"/>
      <c r="C55" s="36">
        <v>2025</v>
      </c>
      <c r="D55" s="15">
        <f>SUM(E55:I55)</f>
        <v>53698.400000000001</v>
      </c>
      <c r="E55" s="15">
        <f t="shared" ref="E55:I57" si="16">E60+E65+E70</f>
        <v>0</v>
      </c>
      <c r="F55" s="15">
        <f t="shared" si="16"/>
        <v>53072</v>
      </c>
      <c r="G55" s="15">
        <f t="shared" si="16"/>
        <v>536.1</v>
      </c>
      <c r="H55" s="15">
        <f t="shared" si="16"/>
        <v>90.300000000000011</v>
      </c>
      <c r="I55" s="15">
        <f t="shared" si="16"/>
        <v>0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</row>
    <row r="56" spans="1:209" ht="19.5" customHeight="1">
      <c r="A56" s="52"/>
      <c r="B56" s="49"/>
      <c r="C56" s="36">
        <v>2026</v>
      </c>
      <c r="D56" s="15">
        <f>SUM(E56:I56)</f>
        <v>158169</v>
      </c>
      <c r="E56" s="15">
        <f t="shared" si="16"/>
        <v>0</v>
      </c>
      <c r="F56" s="15">
        <f t="shared" si="16"/>
        <v>156587.29999999999</v>
      </c>
      <c r="G56" s="15">
        <f t="shared" si="16"/>
        <v>0</v>
      </c>
      <c r="H56" s="15">
        <f t="shared" si="16"/>
        <v>1581.6999999999998</v>
      </c>
      <c r="I56" s="15">
        <f t="shared" si="16"/>
        <v>0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</row>
    <row r="57" spans="1:209" ht="19.5" customHeight="1">
      <c r="A57" s="52"/>
      <c r="B57" s="49"/>
      <c r="C57" s="36">
        <v>2027</v>
      </c>
      <c r="D57" s="15">
        <f>SUM(E57:I57)</f>
        <v>0</v>
      </c>
      <c r="E57" s="15">
        <f t="shared" si="16"/>
        <v>0</v>
      </c>
      <c r="F57" s="15">
        <f t="shared" si="16"/>
        <v>0</v>
      </c>
      <c r="G57" s="15">
        <f t="shared" si="16"/>
        <v>0</v>
      </c>
      <c r="H57" s="15">
        <f t="shared" si="16"/>
        <v>0</v>
      </c>
      <c r="I57" s="15">
        <f>I62+I67+I72</f>
        <v>0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</row>
    <row r="58" spans="1:209" ht="19.5" customHeight="1">
      <c r="A58" s="52"/>
      <c r="B58" s="49"/>
      <c r="C58" s="36">
        <v>2028</v>
      </c>
      <c r="D58" s="15">
        <f t="shared" ref="D58:H58" si="17">D63+D68</f>
        <v>64027.700000000004</v>
      </c>
      <c r="E58" s="15">
        <f t="shared" si="17"/>
        <v>0</v>
      </c>
      <c r="F58" s="15">
        <f t="shared" si="17"/>
        <v>63387.4</v>
      </c>
      <c r="G58" s="15">
        <f t="shared" si="17"/>
        <v>0</v>
      </c>
      <c r="H58" s="15">
        <f t="shared" si="17"/>
        <v>640.29999999999995</v>
      </c>
      <c r="I58" s="15">
        <f>I63+I68</f>
        <v>0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</row>
    <row r="59" spans="1:209" ht="19.5" customHeight="1">
      <c r="A59" s="53"/>
      <c r="B59" s="50"/>
      <c r="C59" s="36" t="s">
        <v>16</v>
      </c>
      <c r="D59" s="15">
        <f t="shared" ref="D59:H59" si="18">SUM(D55:D58)</f>
        <v>275895.09999999998</v>
      </c>
      <c r="E59" s="15">
        <f t="shared" si="18"/>
        <v>0</v>
      </c>
      <c r="F59" s="15">
        <f t="shared" si="18"/>
        <v>273046.7</v>
      </c>
      <c r="G59" s="15">
        <f t="shared" si="18"/>
        <v>536.1</v>
      </c>
      <c r="H59" s="15">
        <f t="shared" si="18"/>
        <v>2312.2999999999997</v>
      </c>
      <c r="I59" s="15">
        <f>SUM(I55:I58)</f>
        <v>0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</row>
    <row r="60" spans="1:209" ht="19.5" customHeight="1">
      <c r="A60" s="45" t="s">
        <v>89</v>
      </c>
      <c r="B60" s="49"/>
      <c r="C60" s="37">
        <v>2025</v>
      </c>
      <c r="D60" s="14">
        <f>SUM(E60:I60)</f>
        <v>626.40000000000009</v>
      </c>
      <c r="E60" s="14">
        <v>0</v>
      </c>
      <c r="F60" s="14">
        <v>0</v>
      </c>
      <c r="G60" s="14">
        <f>536.1-0.1+0.1</f>
        <v>536.1</v>
      </c>
      <c r="H60" s="14">
        <f>0+90.4-0.1</f>
        <v>90.300000000000011</v>
      </c>
      <c r="I60" s="14">
        <v>0</v>
      </c>
    </row>
    <row r="61" spans="1:209" ht="19.5" customHeight="1">
      <c r="A61" s="46"/>
      <c r="B61" s="49"/>
      <c r="C61" s="37">
        <v>2026</v>
      </c>
      <c r="D61" s="14">
        <f>SUM(E61:I61)</f>
        <v>1581.6999999999998</v>
      </c>
      <c r="E61" s="14">
        <v>0</v>
      </c>
      <c r="F61" s="14">
        <v>0</v>
      </c>
      <c r="G61" s="14">
        <v>0</v>
      </c>
      <c r="H61" s="14">
        <f>381.4+1200.3</f>
        <v>1581.6999999999998</v>
      </c>
      <c r="I61" s="14">
        <v>0</v>
      </c>
    </row>
    <row r="62" spans="1:209" ht="19.5" customHeight="1">
      <c r="A62" s="46"/>
      <c r="B62" s="49"/>
      <c r="C62" s="37">
        <v>2027</v>
      </c>
      <c r="D62" s="14">
        <f>SUM(E62:I62)</f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</row>
    <row r="63" spans="1:209" ht="19.5" customHeight="1">
      <c r="A63" s="46"/>
      <c r="B63" s="49"/>
      <c r="C63" s="37">
        <v>2028</v>
      </c>
      <c r="D63" s="14">
        <f>SUM(E63:I63)</f>
        <v>640.29999999999995</v>
      </c>
      <c r="E63" s="14">
        <v>0</v>
      </c>
      <c r="F63" s="14">
        <v>0</v>
      </c>
      <c r="G63" s="14">
        <v>0</v>
      </c>
      <c r="H63" s="14">
        <v>640.29999999999995</v>
      </c>
      <c r="I63" s="14">
        <v>0</v>
      </c>
    </row>
    <row r="64" spans="1:209" ht="19.5" customHeight="1">
      <c r="A64" s="47"/>
      <c r="B64" s="50"/>
      <c r="C64" s="37" t="s">
        <v>16</v>
      </c>
      <c r="D64" s="14">
        <f t="shared" ref="D64:H64" si="19">SUM(D60:D63)</f>
        <v>2848.3999999999996</v>
      </c>
      <c r="E64" s="14">
        <f t="shared" si="19"/>
        <v>0</v>
      </c>
      <c r="F64" s="14">
        <f t="shared" si="19"/>
        <v>0</v>
      </c>
      <c r="G64" s="14">
        <f t="shared" si="19"/>
        <v>536.1</v>
      </c>
      <c r="H64" s="14">
        <f t="shared" si="19"/>
        <v>2312.2999999999997</v>
      </c>
      <c r="I64" s="14">
        <f>SUM(I60:I63)</f>
        <v>0</v>
      </c>
    </row>
    <row r="65" spans="1:209" ht="19.5" customHeight="1">
      <c r="A65" s="45" t="s">
        <v>90</v>
      </c>
      <c r="B65" s="49"/>
      <c r="C65" s="37">
        <v>2025</v>
      </c>
      <c r="D65" s="14">
        <f>SUM(E65:I65)</f>
        <v>39795</v>
      </c>
      <c r="E65" s="14">
        <v>0</v>
      </c>
      <c r="F65" s="14">
        <v>39795</v>
      </c>
      <c r="G65" s="14">
        <v>0</v>
      </c>
      <c r="H65" s="14">
        <v>0</v>
      </c>
      <c r="I65" s="14">
        <v>0</v>
      </c>
    </row>
    <row r="66" spans="1:209" ht="19.5" customHeight="1">
      <c r="A66" s="46"/>
      <c r="B66" s="49"/>
      <c r="C66" s="37">
        <v>2026</v>
      </c>
      <c r="D66" s="14">
        <f>SUM(E66:I66)</f>
        <v>121425.60000000001</v>
      </c>
      <c r="E66" s="14">
        <v>0</v>
      </c>
      <c r="F66" s="14">
        <f>37756.5+83669.1</f>
        <v>121425.60000000001</v>
      </c>
      <c r="G66" s="14">
        <v>0</v>
      </c>
      <c r="H66" s="14">
        <v>0</v>
      </c>
      <c r="I66" s="14">
        <v>0</v>
      </c>
    </row>
    <row r="67" spans="1:209" ht="19.5" customHeight="1">
      <c r="A67" s="46"/>
      <c r="B67" s="49"/>
      <c r="C67" s="37">
        <v>2027</v>
      </c>
      <c r="D67" s="14">
        <f>SUM(E67:I67)</f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</row>
    <row r="68" spans="1:209" ht="19.5" customHeight="1">
      <c r="A68" s="46"/>
      <c r="B68" s="49"/>
      <c r="C68" s="37">
        <v>2028</v>
      </c>
      <c r="D68" s="14">
        <f>SUM(E68:I68)</f>
        <v>63387.4</v>
      </c>
      <c r="E68" s="14">
        <v>0</v>
      </c>
      <c r="F68" s="14">
        <v>63387.4</v>
      </c>
      <c r="G68" s="14">
        <v>0</v>
      </c>
      <c r="H68" s="14">
        <v>0</v>
      </c>
      <c r="I68" s="14">
        <v>0</v>
      </c>
    </row>
    <row r="69" spans="1:209" ht="19.5" customHeight="1">
      <c r="A69" s="47"/>
      <c r="B69" s="50"/>
      <c r="C69" s="37" t="s">
        <v>16</v>
      </c>
      <c r="D69" s="14">
        <f t="shared" ref="D69:H69" si="20">SUM(D65:D68)</f>
        <v>224608</v>
      </c>
      <c r="E69" s="14">
        <f t="shared" si="20"/>
        <v>0</v>
      </c>
      <c r="F69" s="14">
        <f t="shared" si="20"/>
        <v>224608</v>
      </c>
      <c r="G69" s="14">
        <f t="shared" si="20"/>
        <v>0</v>
      </c>
      <c r="H69" s="14">
        <f t="shared" si="20"/>
        <v>0</v>
      </c>
      <c r="I69" s="14">
        <f>SUM(I65:I68)</f>
        <v>0</v>
      </c>
    </row>
    <row r="70" spans="1:209" ht="19.5" customHeight="1">
      <c r="A70" s="45" t="s">
        <v>91</v>
      </c>
      <c r="B70" s="49"/>
      <c r="C70" s="37">
        <v>2025</v>
      </c>
      <c r="D70" s="14">
        <f>SUM(E70:I70)</f>
        <v>13277</v>
      </c>
      <c r="E70" s="14">
        <v>0</v>
      </c>
      <c r="F70" s="14">
        <v>13277</v>
      </c>
      <c r="G70" s="14">
        <v>0</v>
      </c>
      <c r="H70" s="14">
        <v>0</v>
      </c>
      <c r="I70" s="14">
        <v>0</v>
      </c>
    </row>
    <row r="71" spans="1:209" ht="19.5" customHeight="1">
      <c r="A71" s="46"/>
      <c r="B71" s="49"/>
      <c r="C71" s="37">
        <v>2026</v>
      </c>
      <c r="D71" s="14">
        <f>SUM(E71:I71)</f>
        <v>35161.699999999997</v>
      </c>
      <c r="E71" s="14">
        <v>0</v>
      </c>
      <c r="F71" s="14">
        <f>0+35161.7</f>
        <v>35161.699999999997</v>
      </c>
      <c r="G71" s="14">
        <v>0</v>
      </c>
      <c r="H71" s="14">
        <v>0</v>
      </c>
      <c r="I71" s="14">
        <v>0</v>
      </c>
    </row>
    <row r="72" spans="1:209" ht="19.5" customHeight="1">
      <c r="A72" s="46"/>
      <c r="B72" s="49"/>
      <c r="C72" s="37">
        <v>2027</v>
      </c>
      <c r="D72" s="14">
        <f>SUM(E72:I72)</f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</row>
    <row r="73" spans="1:209" ht="19.5" customHeight="1">
      <c r="A73" s="46"/>
      <c r="B73" s="49"/>
      <c r="C73" s="37">
        <v>2028</v>
      </c>
      <c r="D73" s="14">
        <f>SUM(E73:I73)</f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</row>
    <row r="74" spans="1:209" ht="19.5" customHeight="1">
      <c r="A74" s="47"/>
      <c r="B74" s="50"/>
      <c r="C74" s="37" t="s">
        <v>16</v>
      </c>
      <c r="D74" s="14">
        <f t="shared" ref="D74:H74" si="21">SUM(D70:D73)</f>
        <v>48438.7</v>
      </c>
      <c r="E74" s="14">
        <f t="shared" si="21"/>
        <v>0</v>
      </c>
      <c r="F74" s="14">
        <f t="shared" si="21"/>
        <v>48438.7</v>
      </c>
      <c r="G74" s="14">
        <f t="shared" si="21"/>
        <v>0</v>
      </c>
      <c r="H74" s="14">
        <f t="shared" si="21"/>
        <v>0</v>
      </c>
      <c r="I74" s="14">
        <f>SUM(I70:I73)</f>
        <v>0</v>
      </c>
    </row>
    <row r="75" spans="1:209">
      <c r="A75" s="54" t="s">
        <v>57</v>
      </c>
      <c r="B75" s="56"/>
      <c r="C75" s="36">
        <v>2022</v>
      </c>
      <c r="D75" s="22">
        <f t="shared" ref="D75:G75" si="22">D78+D84+D96+D111+D117</f>
        <v>54988.5</v>
      </c>
      <c r="E75" s="22">
        <f t="shared" si="22"/>
        <v>0</v>
      </c>
      <c r="F75" s="22">
        <f t="shared" si="22"/>
        <v>40132.1</v>
      </c>
      <c r="G75" s="22">
        <f t="shared" si="22"/>
        <v>0</v>
      </c>
      <c r="H75" s="22">
        <f>H78+H84+H96+H111+H117</f>
        <v>14856.400000000001</v>
      </c>
      <c r="I75" s="22">
        <f>(I78+I84+I90+I96+I111+I164)</f>
        <v>0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</row>
    <row r="76" spans="1:209">
      <c r="A76" s="54"/>
      <c r="B76" s="57"/>
      <c r="C76" s="36">
        <v>2023</v>
      </c>
      <c r="D76" s="22">
        <f t="shared" ref="D76:G76" si="23">D79+D85+D91+D97+D112+D118</f>
        <v>65759</v>
      </c>
      <c r="E76" s="22">
        <f t="shared" si="23"/>
        <v>0</v>
      </c>
      <c r="F76" s="22">
        <f t="shared" si="23"/>
        <v>34603.4</v>
      </c>
      <c r="G76" s="22">
        <f t="shared" si="23"/>
        <v>0</v>
      </c>
      <c r="H76" s="22">
        <f>H79+H85+H91+H97+H112+H118</f>
        <v>31155.599999999999</v>
      </c>
      <c r="I76" s="22">
        <f>I79+I85+I91+I97+I112+I118</f>
        <v>0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</row>
    <row r="77" spans="1:209">
      <c r="A77" s="54"/>
      <c r="B77" s="58"/>
      <c r="C77" s="36" t="s">
        <v>16</v>
      </c>
      <c r="D77" s="15">
        <f t="shared" ref="D77:I77" si="24">SUM(D75:D76)</f>
        <v>120747.5</v>
      </c>
      <c r="E77" s="15">
        <f t="shared" si="24"/>
        <v>0</v>
      </c>
      <c r="F77" s="15">
        <f t="shared" si="24"/>
        <v>74735.5</v>
      </c>
      <c r="G77" s="15">
        <f t="shared" si="24"/>
        <v>0</v>
      </c>
      <c r="H77" s="15">
        <f t="shared" si="24"/>
        <v>46012</v>
      </c>
      <c r="I77" s="15">
        <f t="shared" si="24"/>
        <v>0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</row>
    <row r="78" spans="1:209">
      <c r="A78" s="54" t="s">
        <v>58</v>
      </c>
      <c r="B78" s="48"/>
      <c r="C78" s="36">
        <v>2022</v>
      </c>
      <c r="D78" s="15">
        <f t="shared" ref="D78:I79" si="25">D81</f>
        <v>18956.400000000001</v>
      </c>
      <c r="E78" s="15">
        <f t="shared" si="25"/>
        <v>0</v>
      </c>
      <c r="F78" s="15">
        <f t="shared" si="25"/>
        <v>13365.6</v>
      </c>
      <c r="G78" s="15">
        <f t="shared" si="25"/>
        <v>0</v>
      </c>
      <c r="H78" s="15">
        <f t="shared" si="25"/>
        <v>5590.8</v>
      </c>
      <c r="I78" s="15">
        <f t="shared" si="25"/>
        <v>0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</row>
    <row r="79" spans="1:209">
      <c r="A79" s="54"/>
      <c r="B79" s="49"/>
      <c r="C79" s="36">
        <v>2023</v>
      </c>
      <c r="D79" s="15">
        <f t="shared" si="25"/>
        <v>49077.9</v>
      </c>
      <c r="E79" s="15">
        <f t="shared" si="25"/>
        <v>0</v>
      </c>
      <c r="F79" s="15">
        <f t="shared" si="25"/>
        <v>34603.4</v>
      </c>
      <c r="G79" s="15">
        <f t="shared" si="25"/>
        <v>0</v>
      </c>
      <c r="H79" s="15">
        <f t="shared" si="25"/>
        <v>14474.5</v>
      </c>
      <c r="I79" s="15">
        <f t="shared" si="25"/>
        <v>0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</row>
    <row r="80" spans="1:209" ht="32.25" customHeight="1">
      <c r="A80" s="54"/>
      <c r="B80" s="50"/>
      <c r="C80" s="36" t="s">
        <v>16</v>
      </c>
      <c r="D80" s="22">
        <f t="shared" ref="D80:I80" si="26">SUM(D78:D79)</f>
        <v>68034.3</v>
      </c>
      <c r="E80" s="22">
        <f t="shared" si="26"/>
        <v>0</v>
      </c>
      <c r="F80" s="22">
        <f t="shared" si="26"/>
        <v>47969</v>
      </c>
      <c r="G80" s="22">
        <f t="shared" si="26"/>
        <v>0</v>
      </c>
      <c r="H80" s="22">
        <f t="shared" si="26"/>
        <v>20065.3</v>
      </c>
      <c r="I80" s="22">
        <f t="shared" si="26"/>
        <v>0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</row>
    <row r="81" spans="1:209">
      <c r="A81" s="45" t="s">
        <v>19</v>
      </c>
      <c r="B81" s="48"/>
      <c r="C81" s="37">
        <v>2022</v>
      </c>
      <c r="D81" s="14">
        <f>SUM(E81:I81)</f>
        <v>18956.400000000001</v>
      </c>
      <c r="E81" s="14">
        <v>0</v>
      </c>
      <c r="F81" s="14">
        <v>13365.6</v>
      </c>
      <c r="G81" s="14">
        <v>0</v>
      </c>
      <c r="H81" s="14">
        <v>5590.8</v>
      </c>
      <c r="I81" s="14">
        <v>0</v>
      </c>
    </row>
    <row r="82" spans="1:209">
      <c r="A82" s="46"/>
      <c r="B82" s="49"/>
      <c r="C82" s="37">
        <v>2023</v>
      </c>
      <c r="D82" s="14">
        <f>SUM(E82:I82)</f>
        <v>49077.9</v>
      </c>
      <c r="E82" s="14">
        <v>0</v>
      </c>
      <c r="F82" s="14">
        <v>34603.4</v>
      </c>
      <c r="G82" s="14">
        <v>0</v>
      </c>
      <c r="H82" s="14">
        <v>14474.5</v>
      </c>
      <c r="I82" s="14">
        <v>0</v>
      </c>
    </row>
    <row r="83" spans="1:209">
      <c r="A83" s="47"/>
      <c r="B83" s="50"/>
      <c r="C83" s="37" t="s">
        <v>16</v>
      </c>
      <c r="D83" s="14">
        <f t="shared" ref="D83:I83" si="27">SUM(D81:D82)</f>
        <v>68034.3</v>
      </c>
      <c r="E83" s="14">
        <f t="shared" si="27"/>
        <v>0</v>
      </c>
      <c r="F83" s="14">
        <f t="shared" si="27"/>
        <v>47969</v>
      </c>
      <c r="G83" s="14">
        <f t="shared" si="27"/>
        <v>0</v>
      </c>
      <c r="H83" s="14">
        <f t="shared" si="27"/>
        <v>20065.3</v>
      </c>
      <c r="I83" s="14">
        <f t="shared" si="27"/>
        <v>0</v>
      </c>
    </row>
    <row r="84" spans="1:209">
      <c r="A84" s="54" t="s">
        <v>59</v>
      </c>
      <c r="B84" s="48"/>
      <c r="C84" s="36">
        <v>2022</v>
      </c>
      <c r="D84" s="15">
        <f t="shared" ref="D84:I86" si="28">D87</f>
        <v>7300</v>
      </c>
      <c r="E84" s="15">
        <f t="shared" si="28"/>
        <v>0</v>
      </c>
      <c r="F84" s="15">
        <f t="shared" si="28"/>
        <v>6862</v>
      </c>
      <c r="G84" s="15">
        <f t="shared" si="28"/>
        <v>0</v>
      </c>
      <c r="H84" s="15">
        <f t="shared" si="28"/>
        <v>438</v>
      </c>
      <c r="I84" s="15">
        <f t="shared" si="28"/>
        <v>0</v>
      </c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</row>
    <row r="85" spans="1:209">
      <c r="A85" s="54"/>
      <c r="B85" s="49"/>
      <c r="C85" s="36">
        <v>2023</v>
      </c>
      <c r="D85" s="15">
        <f t="shared" si="28"/>
        <v>6300</v>
      </c>
      <c r="E85" s="15">
        <f t="shared" si="28"/>
        <v>0</v>
      </c>
      <c r="F85" s="15">
        <f t="shared" si="28"/>
        <v>0</v>
      </c>
      <c r="G85" s="15">
        <f t="shared" si="28"/>
        <v>0</v>
      </c>
      <c r="H85" s="15">
        <f t="shared" si="28"/>
        <v>6300</v>
      </c>
      <c r="I85" s="15">
        <f t="shared" si="28"/>
        <v>0</v>
      </c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</row>
    <row r="86" spans="1:209" ht="27.75" customHeight="1">
      <c r="A86" s="54"/>
      <c r="B86" s="50"/>
      <c r="C86" s="36" t="s">
        <v>16</v>
      </c>
      <c r="D86" s="15">
        <f t="shared" si="28"/>
        <v>13600</v>
      </c>
      <c r="E86" s="15">
        <f t="shared" si="28"/>
        <v>0</v>
      </c>
      <c r="F86" s="15">
        <f t="shared" si="28"/>
        <v>6862</v>
      </c>
      <c r="G86" s="15">
        <f t="shared" si="28"/>
        <v>0</v>
      </c>
      <c r="H86" s="15">
        <f t="shared" si="28"/>
        <v>6738</v>
      </c>
      <c r="I86" s="15">
        <f t="shared" si="28"/>
        <v>0</v>
      </c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</row>
    <row r="87" spans="1:209">
      <c r="A87" s="45" t="s">
        <v>20</v>
      </c>
      <c r="B87" s="48"/>
      <c r="C87" s="37">
        <v>2022</v>
      </c>
      <c r="D87" s="14">
        <f>SUM(E87:I87)</f>
        <v>7300</v>
      </c>
      <c r="E87" s="14">
        <v>0</v>
      </c>
      <c r="F87" s="14">
        <v>6862</v>
      </c>
      <c r="G87" s="14">
        <v>0</v>
      </c>
      <c r="H87" s="14">
        <v>438</v>
      </c>
      <c r="I87" s="14">
        <v>0</v>
      </c>
    </row>
    <row r="88" spans="1:209">
      <c r="A88" s="46"/>
      <c r="B88" s="49"/>
      <c r="C88" s="37">
        <v>2023</v>
      </c>
      <c r="D88" s="14">
        <f>SUM(E88:I88)</f>
        <v>6300</v>
      </c>
      <c r="E88" s="14">
        <v>0</v>
      </c>
      <c r="F88" s="14">
        <v>0</v>
      </c>
      <c r="G88" s="14">
        <v>0</v>
      </c>
      <c r="H88" s="14">
        <v>6300</v>
      </c>
      <c r="I88" s="14">
        <v>0</v>
      </c>
    </row>
    <row r="89" spans="1:209">
      <c r="A89" s="47"/>
      <c r="B89" s="50"/>
      <c r="C89" s="37" t="s">
        <v>16</v>
      </c>
      <c r="D89" s="14">
        <f t="shared" ref="D89:I89" si="29">SUM(D87:D88)</f>
        <v>13600</v>
      </c>
      <c r="E89" s="14">
        <f t="shared" si="29"/>
        <v>0</v>
      </c>
      <c r="F89" s="14">
        <f t="shared" si="29"/>
        <v>6862</v>
      </c>
      <c r="G89" s="14">
        <f t="shared" si="29"/>
        <v>0</v>
      </c>
      <c r="H89" s="14">
        <f t="shared" si="29"/>
        <v>6738</v>
      </c>
      <c r="I89" s="14">
        <f t="shared" si="29"/>
        <v>0</v>
      </c>
    </row>
    <row r="90" spans="1:209" ht="30" customHeight="1">
      <c r="A90" s="54" t="s">
        <v>60</v>
      </c>
      <c r="B90" s="48"/>
      <c r="C90" s="36">
        <v>2022</v>
      </c>
      <c r="D90" s="15">
        <f t="shared" ref="D90:H91" si="30">D93</f>
        <v>0</v>
      </c>
      <c r="E90" s="15">
        <f t="shared" si="30"/>
        <v>0</v>
      </c>
      <c r="F90" s="15">
        <f t="shared" si="30"/>
        <v>0</v>
      </c>
      <c r="G90" s="15">
        <f t="shared" si="30"/>
        <v>0</v>
      </c>
      <c r="H90" s="15">
        <f t="shared" si="30"/>
        <v>0</v>
      </c>
      <c r="I90" s="15">
        <v>0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</row>
    <row r="91" spans="1:209" ht="27" customHeight="1">
      <c r="A91" s="54"/>
      <c r="B91" s="49"/>
      <c r="C91" s="36">
        <v>2023</v>
      </c>
      <c r="D91" s="15">
        <f t="shared" si="30"/>
        <v>0</v>
      </c>
      <c r="E91" s="15">
        <f t="shared" si="30"/>
        <v>0</v>
      </c>
      <c r="F91" s="15">
        <f t="shared" si="30"/>
        <v>0</v>
      </c>
      <c r="G91" s="15">
        <f t="shared" si="30"/>
        <v>0</v>
      </c>
      <c r="H91" s="15">
        <f t="shared" si="30"/>
        <v>0</v>
      </c>
      <c r="I91" s="15">
        <f>I94</f>
        <v>0</v>
      </c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</row>
    <row r="92" spans="1:209" ht="39" customHeight="1">
      <c r="A92" s="54"/>
      <c r="B92" s="50"/>
      <c r="C92" s="36" t="s">
        <v>16</v>
      </c>
      <c r="D92" s="15">
        <f>SUM(D90:D91)</f>
        <v>0</v>
      </c>
      <c r="E92" s="15">
        <f>E95</f>
        <v>0</v>
      </c>
      <c r="F92" s="15">
        <f>F95</f>
        <v>0</v>
      </c>
      <c r="G92" s="15">
        <f>G95</f>
        <v>0</v>
      </c>
      <c r="H92" s="15">
        <f>H95</f>
        <v>0</v>
      </c>
      <c r="I92" s="15">
        <f>I95</f>
        <v>0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</row>
    <row r="93" spans="1:209">
      <c r="A93" s="45" t="s">
        <v>21</v>
      </c>
      <c r="B93" s="48"/>
      <c r="C93" s="37">
        <v>2022</v>
      </c>
      <c r="D93" s="14">
        <f>SUM(E93:I93)</f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</row>
    <row r="94" spans="1:209">
      <c r="A94" s="46"/>
      <c r="B94" s="49"/>
      <c r="C94" s="37">
        <v>2023</v>
      </c>
      <c r="D94" s="14">
        <f>SUM(E94:I94)</f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</row>
    <row r="95" spans="1:209">
      <c r="A95" s="47"/>
      <c r="B95" s="50"/>
      <c r="C95" s="37" t="s">
        <v>16</v>
      </c>
      <c r="D95" s="14">
        <f t="shared" ref="D95:I95" si="31">SUM(D93:D94)</f>
        <v>0</v>
      </c>
      <c r="E95" s="14">
        <f t="shared" si="31"/>
        <v>0</v>
      </c>
      <c r="F95" s="14">
        <f t="shared" si="31"/>
        <v>0</v>
      </c>
      <c r="G95" s="14">
        <f t="shared" si="31"/>
        <v>0</v>
      </c>
      <c r="H95" s="14">
        <f t="shared" si="31"/>
        <v>0</v>
      </c>
      <c r="I95" s="14">
        <f t="shared" si="31"/>
        <v>0</v>
      </c>
    </row>
    <row r="96" spans="1:209" ht="30" customHeight="1">
      <c r="A96" s="54" t="s">
        <v>61</v>
      </c>
      <c r="B96" s="59"/>
      <c r="C96" s="36">
        <v>2022</v>
      </c>
      <c r="D96" s="15">
        <f t="shared" ref="D96:I97" si="32">D99+D102+D105+D108</f>
        <v>28732.1</v>
      </c>
      <c r="E96" s="15">
        <f t="shared" si="32"/>
        <v>0</v>
      </c>
      <c r="F96" s="15">
        <f t="shared" si="32"/>
        <v>19904.5</v>
      </c>
      <c r="G96" s="15">
        <f t="shared" si="32"/>
        <v>0</v>
      </c>
      <c r="H96" s="15">
        <f t="shared" si="32"/>
        <v>8827.6</v>
      </c>
      <c r="I96" s="15">
        <f t="shared" si="32"/>
        <v>0</v>
      </c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</row>
    <row r="97" spans="1:209" ht="33.75" customHeight="1">
      <c r="A97" s="54"/>
      <c r="B97" s="60"/>
      <c r="C97" s="36">
        <v>2023</v>
      </c>
      <c r="D97" s="15">
        <f t="shared" si="32"/>
        <v>3189.8</v>
      </c>
      <c r="E97" s="15">
        <f t="shared" si="32"/>
        <v>0</v>
      </c>
      <c r="F97" s="15">
        <f t="shared" si="32"/>
        <v>0</v>
      </c>
      <c r="G97" s="15">
        <f t="shared" si="32"/>
        <v>0</v>
      </c>
      <c r="H97" s="15">
        <f t="shared" si="32"/>
        <v>3189.8</v>
      </c>
      <c r="I97" s="15">
        <f t="shared" si="32"/>
        <v>0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</row>
    <row r="98" spans="1:209" ht="54.75" customHeight="1">
      <c r="A98" s="54"/>
      <c r="B98" s="60"/>
      <c r="C98" s="36" t="s">
        <v>16</v>
      </c>
      <c r="D98" s="15">
        <f t="shared" ref="D98:I98" si="33">SUM(D96:D97)</f>
        <v>31921.899999999998</v>
      </c>
      <c r="E98" s="15">
        <f t="shared" si="33"/>
        <v>0</v>
      </c>
      <c r="F98" s="15">
        <f t="shared" si="33"/>
        <v>19904.5</v>
      </c>
      <c r="G98" s="15">
        <f t="shared" si="33"/>
        <v>0</v>
      </c>
      <c r="H98" s="15">
        <f t="shared" si="33"/>
        <v>12017.400000000001</v>
      </c>
      <c r="I98" s="15">
        <f t="shared" si="33"/>
        <v>0</v>
      </c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</row>
    <row r="99" spans="1:209">
      <c r="A99" s="45" t="s">
        <v>22</v>
      </c>
      <c r="B99" s="48"/>
      <c r="C99" s="37">
        <v>2022</v>
      </c>
      <c r="D99" s="14">
        <f>SUM(E99:I99)</f>
        <v>6446.1</v>
      </c>
      <c r="E99" s="14">
        <v>0</v>
      </c>
      <c r="F99" s="14">
        <v>0</v>
      </c>
      <c r="G99" s="14">
        <v>0</v>
      </c>
      <c r="H99" s="14">
        <v>6446.1</v>
      </c>
      <c r="I99" s="14">
        <v>0</v>
      </c>
    </row>
    <row r="100" spans="1:209">
      <c r="A100" s="46"/>
      <c r="B100" s="49"/>
      <c r="C100" s="37">
        <v>2023</v>
      </c>
      <c r="D100" s="14">
        <f>SUM(E100:I100)</f>
        <v>3144.8</v>
      </c>
      <c r="E100" s="14">
        <v>0</v>
      </c>
      <c r="F100" s="14">
        <v>0</v>
      </c>
      <c r="G100" s="14">
        <v>0</v>
      </c>
      <c r="H100" s="14">
        <v>3144.8</v>
      </c>
      <c r="I100" s="14">
        <v>0</v>
      </c>
    </row>
    <row r="101" spans="1:209">
      <c r="A101" s="47"/>
      <c r="B101" s="50"/>
      <c r="C101" s="37" t="s">
        <v>16</v>
      </c>
      <c r="D101" s="14">
        <f t="shared" ref="D101:I101" si="34">SUM(D99:D100)</f>
        <v>9590.9000000000015</v>
      </c>
      <c r="E101" s="14">
        <f t="shared" si="34"/>
        <v>0</v>
      </c>
      <c r="F101" s="14">
        <f t="shared" si="34"/>
        <v>0</v>
      </c>
      <c r="G101" s="14">
        <f t="shared" si="34"/>
        <v>0</v>
      </c>
      <c r="H101" s="14">
        <f t="shared" si="34"/>
        <v>9590.9000000000015</v>
      </c>
      <c r="I101" s="14">
        <f t="shared" si="34"/>
        <v>0</v>
      </c>
    </row>
    <row r="102" spans="1:209" s="6" customFormat="1">
      <c r="A102" s="45" t="s">
        <v>69</v>
      </c>
      <c r="B102" s="48"/>
      <c r="C102" s="37">
        <v>2022</v>
      </c>
      <c r="D102" s="14">
        <f>SUM(E102:I102)</f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</row>
    <row r="103" spans="1:209" s="6" customFormat="1">
      <c r="A103" s="46"/>
      <c r="B103" s="49"/>
      <c r="C103" s="37">
        <v>2023</v>
      </c>
      <c r="D103" s="14">
        <f>SUM(E103:I103)</f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</row>
    <row r="104" spans="1:209" s="6" customFormat="1">
      <c r="A104" s="47"/>
      <c r="B104" s="50"/>
      <c r="C104" s="37" t="s">
        <v>16</v>
      </c>
      <c r="D104" s="14">
        <f t="shared" ref="D104:I104" si="35">SUM(D102:D103)</f>
        <v>0</v>
      </c>
      <c r="E104" s="14">
        <f t="shared" si="35"/>
        <v>0</v>
      </c>
      <c r="F104" s="14">
        <f t="shared" si="35"/>
        <v>0</v>
      </c>
      <c r="G104" s="14">
        <f t="shared" si="35"/>
        <v>0</v>
      </c>
      <c r="H104" s="14">
        <f t="shared" si="35"/>
        <v>0</v>
      </c>
      <c r="I104" s="14">
        <f t="shared" si="35"/>
        <v>0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</row>
    <row r="105" spans="1:209" s="6" customFormat="1">
      <c r="A105" s="45" t="s">
        <v>0</v>
      </c>
      <c r="B105" s="48"/>
      <c r="C105" s="37">
        <v>2022</v>
      </c>
      <c r="D105" s="14">
        <f>SUM(E105:I105)</f>
        <v>650.70000000000005</v>
      </c>
      <c r="E105" s="14">
        <v>0</v>
      </c>
      <c r="F105" s="14">
        <v>0</v>
      </c>
      <c r="G105" s="14">
        <v>0</v>
      </c>
      <c r="H105" s="14">
        <v>650.70000000000005</v>
      </c>
      <c r="I105" s="14">
        <v>0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</row>
    <row r="106" spans="1:209" s="6" customFormat="1">
      <c r="A106" s="46"/>
      <c r="B106" s="49"/>
      <c r="C106" s="37">
        <v>2023</v>
      </c>
      <c r="D106" s="14">
        <f>SUM(E106:I106)</f>
        <v>45</v>
      </c>
      <c r="E106" s="14">
        <v>0</v>
      </c>
      <c r="F106" s="14">
        <v>0</v>
      </c>
      <c r="G106" s="14">
        <v>0</v>
      </c>
      <c r="H106" s="14">
        <v>45</v>
      </c>
      <c r="I106" s="14">
        <v>0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</row>
    <row r="107" spans="1:209" s="6" customFormat="1">
      <c r="A107" s="47"/>
      <c r="B107" s="50"/>
      <c r="C107" s="37" t="s">
        <v>16</v>
      </c>
      <c r="D107" s="14">
        <f t="shared" ref="D107:I107" si="36">SUM(D105:D106)</f>
        <v>695.7</v>
      </c>
      <c r="E107" s="14">
        <f t="shared" si="36"/>
        <v>0</v>
      </c>
      <c r="F107" s="14">
        <f t="shared" si="36"/>
        <v>0</v>
      </c>
      <c r="G107" s="14">
        <f t="shared" si="36"/>
        <v>0</v>
      </c>
      <c r="H107" s="14">
        <f t="shared" si="36"/>
        <v>695.7</v>
      </c>
      <c r="I107" s="14">
        <f t="shared" si="36"/>
        <v>0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</row>
    <row r="108" spans="1:209" s="6" customFormat="1">
      <c r="A108" s="45" t="s">
        <v>23</v>
      </c>
      <c r="B108" s="48"/>
      <c r="C108" s="37">
        <v>2022</v>
      </c>
      <c r="D108" s="14">
        <f>SUM(E108:I108)</f>
        <v>21635.3</v>
      </c>
      <c r="E108" s="14">
        <v>0</v>
      </c>
      <c r="F108" s="14">
        <v>19904.5</v>
      </c>
      <c r="G108" s="14">
        <v>0</v>
      </c>
      <c r="H108" s="14">
        <v>1730.8</v>
      </c>
      <c r="I108" s="14">
        <v>0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</row>
    <row r="109" spans="1:209" s="6" customFormat="1">
      <c r="A109" s="46"/>
      <c r="B109" s="49"/>
      <c r="C109" s="37">
        <v>2023</v>
      </c>
      <c r="D109" s="14">
        <f>SUM(E109:I109)</f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</row>
    <row r="110" spans="1:209" s="6" customFormat="1">
      <c r="A110" s="47"/>
      <c r="B110" s="50"/>
      <c r="C110" s="37" t="s">
        <v>16</v>
      </c>
      <c r="D110" s="14">
        <f t="shared" ref="D110:I110" si="37">SUM(D108:D109)</f>
        <v>21635.3</v>
      </c>
      <c r="E110" s="14">
        <f t="shared" si="37"/>
        <v>0</v>
      </c>
      <c r="F110" s="14">
        <f t="shared" si="37"/>
        <v>19904.5</v>
      </c>
      <c r="G110" s="14">
        <f t="shared" si="37"/>
        <v>0</v>
      </c>
      <c r="H110" s="14">
        <f t="shared" si="37"/>
        <v>1730.8</v>
      </c>
      <c r="I110" s="14">
        <f t="shared" si="37"/>
        <v>0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</row>
    <row r="111" spans="1:209" s="6" customFormat="1">
      <c r="A111" s="54" t="s">
        <v>62</v>
      </c>
      <c r="B111" s="48"/>
      <c r="C111" s="36">
        <v>2022</v>
      </c>
      <c r="D111" s="15">
        <f t="shared" ref="D111:H112" si="38">D114</f>
        <v>0</v>
      </c>
      <c r="E111" s="15">
        <f t="shared" si="38"/>
        <v>0</v>
      </c>
      <c r="F111" s="15">
        <f t="shared" si="38"/>
        <v>0</v>
      </c>
      <c r="G111" s="15">
        <f t="shared" si="38"/>
        <v>0</v>
      </c>
      <c r="H111" s="15">
        <f t="shared" si="38"/>
        <v>0</v>
      </c>
      <c r="I111" s="15">
        <v>0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</row>
    <row r="112" spans="1:209" s="6" customFormat="1">
      <c r="A112" s="54"/>
      <c r="B112" s="49"/>
      <c r="C112" s="36">
        <v>2023</v>
      </c>
      <c r="D112" s="15">
        <f t="shared" si="38"/>
        <v>7191.3</v>
      </c>
      <c r="E112" s="15">
        <f t="shared" si="38"/>
        <v>0</v>
      </c>
      <c r="F112" s="15">
        <f t="shared" si="38"/>
        <v>0</v>
      </c>
      <c r="G112" s="15">
        <f t="shared" si="38"/>
        <v>0</v>
      </c>
      <c r="H112" s="15">
        <f t="shared" si="38"/>
        <v>7191.3</v>
      </c>
      <c r="I112" s="15">
        <f>I115</f>
        <v>0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</row>
    <row r="113" spans="1:209" s="6" customFormat="1">
      <c r="A113" s="54"/>
      <c r="B113" s="50"/>
      <c r="C113" s="36" t="s">
        <v>16</v>
      </c>
      <c r="D113" s="15">
        <f t="shared" ref="D113:I113" si="39">SUM(D111:D112)</f>
        <v>7191.3</v>
      </c>
      <c r="E113" s="15">
        <f t="shared" si="39"/>
        <v>0</v>
      </c>
      <c r="F113" s="15">
        <f t="shared" si="39"/>
        <v>0</v>
      </c>
      <c r="G113" s="15">
        <f t="shared" si="39"/>
        <v>0</v>
      </c>
      <c r="H113" s="15">
        <f t="shared" si="39"/>
        <v>7191.3</v>
      </c>
      <c r="I113" s="15">
        <f t="shared" si="39"/>
        <v>0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</row>
    <row r="114" spans="1:209" s="6" customFormat="1">
      <c r="A114" s="45" t="s">
        <v>24</v>
      </c>
      <c r="B114" s="48"/>
      <c r="C114" s="37">
        <v>2022</v>
      </c>
      <c r="D114" s="14">
        <f>SUM(E114:I114)</f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</row>
    <row r="115" spans="1:209" s="6" customFormat="1" ht="20.25" customHeight="1">
      <c r="A115" s="46"/>
      <c r="B115" s="49"/>
      <c r="C115" s="37">
        <v>2023</v>
      </c>
      <c r="D115" s="14">
        <f>SUM(E115:I115)</f>
        <v>7191.3</v>
      </c>
      <c r="E115" s="14">
        <v>0</v>
      </c>
      <c r="F115" s="14">
        <v>0</v>
      </c>
      <c r="G115" s="14">
        <v>0</v>
      </c>
      <c r="H115" s="14">
        <v>7191.3</v>
      </c>
      <c r="I115" s="14">
        <v>0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</row>
    <row r="116" spans="1:209" s="6" customFormat="1" ht="18" customHeight="1">
      <c r="A116" s="47"/>
      <c r="B116" s="50"/>
      <c r="C116" s="37" t="s">
        <v>16</v>
      </c>
      <c r="D116" s="14">
        <f t="shared" ref="D116:I116" si="40">SUM(D114:D115)</f>
        <v>7191.3</v>
      </c>
      <c r="E116" s="14">
        <f t="shared" si="40"/>
        <v>0</v>
      </c>
      <c r="F116" s="14">
        <f t="shared" si="40"/>
        <v>0</v>
      </c>
      <c r="G116" s="14">
        <f t="shared" si="40"/>
        <v>0</v>
      </c>
      <c r="H116" s="14">
        <f t="shared" si="40"/>
        <v>7191.3</v>
      </c>
      <c r="I116" s="14">
        <f t="shared" si="40"/>
        <v>0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</row>
    <row r="117" spans="1:209" s="6" customFormat="1" ht="18" customHeight="1">
      <c r="A117" s="54" t="s">
        <v>63</v>
      </c>
      <c r="B117" s="48"/>
      <c r="C117" s="36">
        <v>2022</v>
      </c>
      <c r="D117" s="15">
        <f t="shared" ref="D117:H118" si="41">D120</f>
        <v>0</v>
      </c>
      <c r="E117" s="15">
        <f t="shared" si="41"/>
        <v>0</v>
      </c>
      <c r="F117" s="15">
        <f t="shared" si="41"/>
        <v>0</v>
      </c>
      <c r="G117" s="15">
        <f t="shared" si="41"/>
        <v>0</v>
      </c>
      <c r="H117" s="15">
        <f t="shared" si="41"/>
        <v>0</v>
      </c>
      <c r="I117" s="15">
        <v>0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</row>
    <row r="118" spans="1:209" s="6" customFormat="1" ht="18" customHeight="1">
      <c r="A118" s="54"/>
      <c r="B118" s="49"/>
      <c r="C118" s="36">
        <v>2023</v>
      </c>
      <c r="D118" s="15">
        <f t="shared" si="41"/>
        <v>0</v>
      </c>
      <c r="E118" s="15">
        <f t="shared" si="41"/>
        <v>0</v>
      </c>
      <c r="F118" s="15">
        <f t="shared" si="41"/>
        <v>0</v>
      </c>
      <c r="G118" s="15">
        <f t="shared" si="41"/>
        <v>0</v>
      </c>
      <c r="H118" s="15">
        <f t="shared" si="41"/>
        <v>0</v>
      </c>
      <c r="I118" s="15">
        <f>I121</f>
        <v>0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</row>
    <row r="119" spans="1:209" s="6" customFormat="1" ht="45" customHeight="1">
      <c r="A119" s="54"/>
      <c r="B119" s="50"/>
      <c r="C119" s="36" t="s">
        <v>16</v>
      </c>
      <c r="D119" s="15">
        <f t="shared" ref="D119:I119" si="42">SUM(D117:D118)</f>
        <v>0</v>
      </c>
      <c r="E119" s="15">
        <f t="shared" si="42"/>
        <v>0</v>
      </c>
      <c r="F119" s="15">
        <f t="shared" si="42"/>
        <v>0</v>
      </c>
      <c r="G119" s="15">
        <f t="shared" si="42"/>
        <v>0</v>
      </c>
      <c r="H119" s="15">
        <f t="shared" si="42"/>
        <v>0</v>
      </c>
      <c r="I119" s="15">
        <f t="shared" si="42"/>
        <v>0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</row>
    <row r="120" spans="1:209" s="6" customFormat="1" ht="18" customHeight="1">
      <c r="A120" s="45" t="s">
        <v>25</v>
      </c>
      <c r="B120" s="48"/>
      <c r="C120" s="37">
        <v>2022</v>
      </c>
      <c r="D120" s="14">
        <f>SUM(E120:I120)</f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</row>
    <row r="121" spans="1:209" s="6" customFormat="1" ht="24" customHeight="1">
      <c r="A121" s="46"/>
      <c r="B121" s="49"/>
      <c r="C121" s="37">
        <v>2023</v>
      </c>
      <c r="D121" s="14">
        <f>SUM(E121:I121)</f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</row>
    <row r="122" spans="1:209" s="6" customFormat="1" ht="33" customHeight="1">
      <c r="A122" s="47"/>
      <c r="B122" s="50"/>
      <c r="C122" s="37" t="s">
        <v>16</v>
      </c>
      <c r="D122" s="14">
        <f t="shared" ref="D122:I122" si="43">SUM(D120:D121)</f>
        <v>0</v>
      </c>
      <c r="E122" s="14">
        <f t="shared" si="43"/>
        <v>0</v>
      </c>
      <c r="F122" s="14">
        <f t="shared" si="43"/>
        <v>0</v>
      </c>
      <c r="G122" s="14">
        <f t="shared" si="43"/>
        <v>0</v>
      </c>
      <c r="H122" s="14">
        <f t="shared" si="43"/>
        <v>0</v>
      </c>
      <c r="I122" s="14">
        <f t="shared" si="43"/>
        <v>0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</row>
    <row r="123" spans="1:209" s="6" customFormat="1" ht="18" customHeight="1">
      <c r="A123" s="54" t="s">
        <v>64</v>
      </c>
      <c r="B123" s="56"/>
      <c r="C123" s="36">
        <v>2024</v>
      </c>
      <c r="D123" s="22">
        <f>D129</f>
        <v>3000</v>
      </c>
      <c r="E123" s="22">
        <f t="shared" ref="E123:I125" si="44">E129</f>
        <v>0</v>
      </c>
      <c r="F123" s="22">
        <f t="shared" si="44"/>
        <v>0</v>
      </c>
      <c r="G123" s="22">
        <f t="shared" si="44"/>
        <v>0</v>
      </c>
      <c r="H123" s="22">
        <f t="shared" si="44"/>
        <v>3000</v>
      </c>
      <c r="I123" s="22">
        <f t="shared" si="44"/>
        <v>0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</row>
    <row r="124" spans="1:209" s="6" customFormat="1" ht="18" customHeight="1">
      <c r="A124" s="54"/>
      <c r="B124" s="57"/>
      <c r="C124" s="36">
        <v>2025</v>
      </c>
      <c r="D124" s="22">
        <f>D130</f>
        <v>6575.9</v>
      </c>
      <c r="E124" s="22">
        <f t="shared" si="44"/>
        <v>0</v>
      </c>
      <c r="F124" s="22">
        <f t="shared" si="44"/>
        <v>0</v>
      </c>
      <c r="G124" s="22">
        <f t="shared" si="44"/>
        <v>0</v>
      </c>
      <c r="H124" s="22">
        <f>H130</f>
        <v>6575.9</v>
      </c>
      <c r="I124" s="22">
        <f>I130</f>
        <v>0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</row>
    <row r="125" spans="1:209" s="6" customFormat="1" ht="18" customHeight="1">
      <c r="A125" s="54"/>
      <c r="B125" s="57"/>
      <c r="C125" s="36">
        <v>2026</v>
      </c>
      <c r="D125" s="22">
        <f>D131</f>
        <v>9526</v>
      </c>
      <c r="E125" s="22">
        <f t="shared" si="44"/>
        <v>0</v>
      </c>
      <c r="F125" s="22">
        <f t="shared" si="44"/>
        <v>0</v>
      </c>
      <c r="G125" s="22">
        <f t="shared" si="44"/>
        <v>0</v>
      </c>
      <c r="H125" s="22">
        <f t="shared" si="44"/>
        <v>9526</v>
      </c>
      <c r="I125" s="22">
        <f t="shared" si="44"/>
        <v>0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</row>
    <row r="126" spans="1:209" s="6" customFormat="1" ht="18" customHeight="1">
      <c r="A126" s="54"/>
      <c r="B126" s="57"/>
      <c r="C126" s="36">
        <v>2027</v>
      </c>
      <c r="D126" s="22">
        <f>SUM(E126:I126)</f>
        <v>38294</v>
      </c>
      <c r="E126" s="22">
        <f t="shared" ref="E126:I126" si="45">E132+E139</f>
        <v>0</v>
      </c>
      <c r="F126" s="22">
        <f t="shared" si="45"/>
        <v>0</v>
      </c>
      <c r="G126" s="22">
        <f t="shared" si="45"/>
        <v>0</v>
      </c>
      <c r="H126" s="22">
        <f t="shared" si="45"/>
        <v>38294</v>
      </c>
      <c r="I126" s="22">
        <f t="shared" si="45"/>
        <v>0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</row>
    <row r="127" spans="1:209" s="6" customFormat="1" ht="18" customHeight="1">
      <c r="A127" s="54"/>
      <c r="B127" s="57"/>
      <c r="C127" s="36">
        <v>2028</v>
      </c>
      <c r="D127" s="22">
        <f>SUM(E127:I127)</f>
        <v>21328</v>
      </c>
      <c r="E127" s="22">
        <f t="shared" ref="E127:H127" si="46">E140</f>
        <v>0</v>
      </c>
      <c r="F127" s="22">
        <f t="shared" si="46"/>
        <v>0</v>
      </c>
      <c r="G127" s="22">
        <f t="shared" si="46"/>
        <v>0</v>
      </c>
      <c r="H127" s="22">
        <f t="shared" si="46"/>
        <v>21328</v>
      </c>
      <c r="I127" s="22">
        <f>I140</f>
        <v>0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</row>
    <row r="128" spans="1:209" s="6" customFormat="1" ht="18" customHeight="1">
      <c r="A128" s="54"/>
      <c r="B128" s="58"/>
      <c r="C128" s="36" t="s">
        <v>16</v>
      </c>
      <c r="D128" s="15">
        <f>SUM(D123:D127)</f>
        <v>78723.899999999994</v>
      </c>
      <c r="E128" s="15">
        <f t="shared" ref="E128:H128" si="47">SUM(E123:E127)</f>
        <v>0</v>
      </c>
      <c r="F128" s="15">
        <f t="shared" si="47"/>
        <v>0</v>
      </c>
      <c r="G128" s="15">
        <f t="shared" si="47"/>
        <v>0</v>
      </c>
      <c r="H128" s="15">
        <f t="shared" si="47"/>
        <v>78723.899999999994</v>
      </c>
      <c r="I128" s="15">
        <f>SUM(I123:I127)</f>
        <v>0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</row>
    <row r="129" spans="1:209" s="6" customFormat="1" ht="23.45" customHeight="1">
      <c r="A129" s="54" t="s">
        <v>80</v>
      </c>
      <c r="B129" s="48"/>
      <c r="C129" s="36">
        <v>2024</v>
      </c>
      <c r="D129" s="15">
        <f t="shared" ref="D129:H132" si="48">D134</f>
        <v>3000</v>
      </c>
      <c r="E129" s="15">
        <f t="shared" si="48"/>
        <v>0</v>
      </c>
      <c r="F129" s="15">
        <f t="shared" si="48"/>
        <v>0</v>
      </c>
      <c r="G129" s="15">
        <f t="shared" si="48"/>
        <v>0</v>
      </c>
      <c r="H129" s="15">
        <f t="shared" si="48"/>
        <v>3000</v>
      </c>
      <c r="I129" s="15">
        <f>I134</f>
        <v>0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</row>
    <row r="130" spans="1:209" s="6" customFormat="1" ht="23.45" customHeight="1">
      <c r="A130" s="54"/>
      <c r="B130" s="49"/>
      <c r="C130" s="36">
        <v>2025</v>
      </c>
      <c r="D130" s="15">
        <f t="shared" si="48"/>
        <v>6575.9</v>
      </c>
      <c r="E130" s="15">
        <f t="shared" si="48"/>
        <v>0</v>
      </c>
      <c r="F130" s="15">
        <f t="shared" si="48"/>
        <v>0</v>
      </c>
      <c r="G130" s="15">
        <f t="shared" si="48"/>
        <v>0</v>
      </c>
      <c r="H130" s="15">
        <f t="shared" si="48"/>
        <v>6575.9</v>
      </c>
      <c r="I130" s="15">
        <f>I135</f>
        <v>0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</row>
    <row r="131" spans="1:209" s="6" customFormat="1" ht="23.45" customHeight="1">
      <c r="A131" s="54"/>
      <c r="B131" s="49"/>
      <c r="C131" s="36">
        <v>2026</v>
      </c>
      <c r="D131" s="15">
        <f t="shared" si="48"/>
        <v>9526</v>
      </c>
      <c r="E131" s="15">
        <f t="shared" si="48"/>
        <v>0</v>
      </c>
      <c r="F131" s="15">
        <f t="shared" si="48"/>
        <v>0</v>
      </c>
      <c r="G131" s="15">
        <f t="shared" si="48"/>
        <v>0</v>
      </c>
      <c r="H131" s="15">
        <f t="shared" si="48"/>
        <v>9526</v>
      </c>
      <c r="I131" s="15">
        <f>I136</f>
        <v>0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</row>
    <row r="132" spans="1:209" s="6" customFormat="1" ht="23.45" customHeight="1">
      <c r="A132" s="54"/>
      <c r="B132" s="49"/>
      <c r="C132" s="36">
        <v>2027</v>
      </c>
      <c r="D132" s="15">
        <f t="shared" si="48"/>
        <v>16966</v>
      </c>
      <c r="E132" s="15">
        <f t="shared" si="48"/>
        <v>0</v>
      </c>
      <c r="F132" s="15">
        <f t="shared" si="48"/>
        <v>0</v>
      </c>
      <c r="G132" s="15">
        <f t="shared" si="48"/>
        <v>0</v>
      </c>
      <c r="H132" s="15">
        <f t="shared" si="48"/>
        <v>16966</v>
      </c>
      <c r="I132" s="15">
        <f>I137</f>
        <v>0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</row>
    <row r="133" spans="1:209" s="6" customFormat="1" ht="52.5" customHeight="1">
      <c r="A133" s="54"/>
      <c r="B133" s="50"/>
      <c r="C133" s="36" t="s">
        <v>16</v>
      </c>
      <c r="D133" s="15">
        <f>SUM(D129:D132)</f>
        <v>36067.9</v>
      </c>
      <c r="E133" s="15">
        <f t="shared" ref="E133:I133" si="49">SUM(E129:E132)</f>
        <v>0</v>
      </c>
      <c r="F133" s="15">
        <f t="shared" si="49"/>
        <v>0</v>
      </c>
      <c r="G133" s="15">
        <f t="shared" si="49"/>
        <v>0</v>
      </c>
      <c r="H133" s="15">
        <f t="shared" si="49"/>
        <v>36067.9</v>
      </c>
      <c r="I133" s="15">
        <f t="shared" si="49"/>
        <v>0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</row>
    <row r="134" spans="1:209" s="6" customFormat="1" ht="18" customHeight="1">
      <c r="A134" s="45" t="s">
        <v>0</v>
      </c>
      <c r="B134" s="48"/>
      <c r="C134" s="37">
        <v>2024</v>
      </c>
      <c r="D134" s="14">
        <f>SUM(E134:I134)</f>
        <v>3000</v>
      </c>
      <c r="E134" s="14">
        <v>0</v>
      </c>
      <c r="F134" s="14">
        <v>0</v>
      </c>
      <c r="G134" s="14">
        <v>0</v>
      </c>
      <c r="H134" s="14">
        <v>3000</v>
      </c>
      <c r="I134" s="14">
        <v>0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</row>
    <row r="135" spans="1:209" s="6" customFormat="1" ht="18" customHeight="1">
      <c r="A135" s="46"/>
      <c r="B135" s="49"/>
      <c r="C135" s="37">
        <v>2025</v>
      </c>
      <c r="D135" s="14">
        <f>SUM(E135:I135)</f>
        <v>6575.9</v>
      </c>
      <c r="E135" s="14">
        <v>0</v>
      </c>
      <c r="F135" s="14">
        <v>0</v>
      </c>
      <c r="G135" s="14">
        <v>0</v>
      </c>
      <c r="H135" s="14">
        <v>6575.9</v>
      </c>
      <c r="I135" s="14">
        <v>0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</row>
    <row r="136" spans="1:209" s="6" customFormat="1" ht="18" customHeight="1">
      <c r="A136" s="46"/>
      <c r="B136" s="49"/>
      <c r="C136" s="37">
        <v>2026</v>
      </c>
      <c r="D136" s="14">
        <f>SUM(E136:I136)</f>
        <v>9526</v>
      </c>
      <c r="E136" s="14">
        <v>0</v>
      </c>
      <c r="F136" s="14">
        <v>0</v>
      </c>
      <c r="G136" s="14">
        <v>0</v>
      </c>
      <c r="H136" s="14">
        <f>6907.5+3072.5+6532-2947.2-4038.8</f>
        <v>9526</v>
      </c>
      <c r="I136" s="14">
        <v>0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</row>
    <row r="137" spans="1:209" s="6" customFormat="1" ht="18" customHeight="1">
      <c r="A137" s="46"/>
      <c r="B137" s="49"/>
      <c r="C137" s="37">
        <v>2027</v>
      </c>
      <c r="D137" s="14">
        <f>SUM(E137:I137)</f>
        <v>16966</v>
      </c>
      <c r="E137" s="14">
        <v>0</v>
      </c>
      <c r="F137" s="14">
        <v>0</v>
      </c>
      <c r="G137" s="14">
        <v>0</v>
      </c>
      <c r="H137" s="14">
        <f>9980+4038.8+2947.2</f>
        <v>16966</v>
      </c>
      <c r="I137" s="14">
        <v>0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</row>
    <row r="138" spans="1:209" s="6" customFormat="1" ht="18" customHeight="1">
      <c r="A138" s="47"/>
      <c r="B138" s="50"/>
      <c r="C138" s="37" t="s">
        <v>16</v>
      </c>
      <c r="D138" s="14">
        <f>SUM(D134:D137)</f>
        <v>36067.9</v>
      </c>
      <c r="E138" s="14">
        <f t="shared" ref="E138:I138" si="50">SUM(E134:E137)</f>
        <v>0</v>
      </c>
      <c r="F138" s="14">
        <f t="shared" si="50"/>
        <v>0</v>
      </c>
      <c r="G138" s="14">
        <f t="shared" si="50"/>
        <v>0</v>
      </c>
      <c r="H138" s="14">
        <f t="shared" si="50"/>
        <v>36067.9</v>
      </c>
      <c r="I138" s="14">
        <f t="shared" si="50"/>
        <v>0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</row>
    <row r="139" spans="1:209" s="6" customFormat="1" ht="25.5" customHeight="1">
      <c r="A139" s="51" t="s">
        <v>95</v>
      </c>
      <c r="B139" s="48"/>
      <c r="C139" s="36">
        <v>2027</v>
      </c>
      <c r="D139" s="15">
        <f t="shared" ref="D139:H140" si="51">D142</f>
        <v>21328</v>
      </c>
      <c r="E139" s="15">
        <f t="shared" si="51"/>
        <v>0</v>
      </c>
      <c r="F139" s="15">
        <f t="shared" si="51"/>
        <v>0</v>
      </c>
      <c r="G139" s="15">
        <f t="shared" si="51"/>
        <v>0</v>
      </c>
      <c r="H139" s="15">
        <f t="shared" si="51"/>
        <v>21328</v>
      </c>
      <c r="I139" s="15">
        <f>I142</f>
        <v>0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</row>
    <row r="140" spans="1:209" s="6" customFormat="1" ht="25.5" customHeight="1">
      <c r="A140" s="52"/>
      <c r="B140" s="49"/>
      <c r="C140" s="36">
        <v>2028</v>
      </c>
      <c r="D140" s="15">
        <f>SUM(E140:I140)</f>
        <v>21328</v>
      </c>
      <c r="E140" s="15">
        <f t="shared" si="51"/>
        <v>0</v>
      </c>
      <c r="F140" s="15">
        <f t="shared" si="51"/>
        <v>0</v>
      </c>
      <c r="G140" s="15">
        <f t="shared" si="51"/>
        <v>0</v>
      </c>
      <c r="H140" s="15">
        <f t="shared" si="51"/>
        <v>21328</v>
      </c>
      <c r="I140" s="15">
        <f>I143</f>
        <v>0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</row>
    <row r="141" spans="1:209" s="6" customFormat="1" ht="27" customHeight="1">
      <c r="A141" s="53"/>
      <c r="B141" s="50"/>
      <c r="C141" s="36" t="s">
        <v>16</v>
      </c>
      <c r="D141" s="15">
        <f>SUM(D139:D140)</f>
        <v>42656</v>
      </c>
      <c r="E141" s="15">
        <f t="shared" ref="E141:H141" si="52">SUM(E139:E140)</f>
        <v>0</v>
      </c>
      <c r="F141" s="15">
        <f t="shared" si="52"/>
        <v>0</v>
      </c>
      <c r="G141" s="15">
        <f t="shared" si="52"/>
        <v>0</v>
      </c>
      <c r="H141" s="15">
        <f t="shared" si="52"/>
        <v>42656</v>
      </c>
      <c r="I141" s="15">
        <f>SUM(I139:I140)</f>
        <v>0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</row>
    <row r="142" spans="1:209" s="6" customFormat="1" ht="18" customHeight="1">
      <c r="A142" s="45" t="s">
        <v>33</v>
      </c>
      <c r="B142" s="48"/>
      <c r="C142" s="37">
        <v>2027</v>
      </c>
      <c r="D142" s="14">
        <f>SUM(E142:I142)</f>
        <v>21328</v>
      </c>
      <c r="E142" s="14">
        <v>0</v>
      </c>
      <c r="F142" s="14">
        <v>0</v>
      </c>
      <c r="G142" s="14">
        <v>0</v>
      </c>
      <c r="H142" s="14">
        <v>21328</v>
      </c>
      <c r="I142" s="14">
        <v>0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</row>
    <row r="143" spans="1:209" s="6" customFormat="1" ht="18" customHeight="1">
      <c r="A143" s="46"/>
      <c r="B143" s="49"/>
      <c r="C143" s="37">
        <v>2028</v>
      </c>
      <c r="D143" s="14">
        <f>SUM(E143:I143)</f>
        <v>21328</v>
      </c>
      <c r="E143" s="14">
        <v>0</v>
      </c>
      <c r="F143" s="14">
        <v>0</v>
      </c>
      <c r="G143" s="14">
        <v>0</v>
      </c>
      <c r="H143" s="14">
        <v>21328</v>
      </c>
      <c r="I143" s="14">
        <v>0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</row>
    <row r="144" spans="1:209" s="6" customFormat="1" ht="24.75" customHeight="1">
      <c r="A144" s="47"/>
      <c r="B144" s="50"/>
      <c r="C144" s="37" t="s">
        <v>16</v>
      </c>
      <c r="D144" s="14">
        <f>SUM(D142:D143)</f>
        <v>42656</v>
      </c>
      <c r="E144" s="14">
        <f t="shared" ref="E144:H144" si="53">SUM(E142:E143)</f>
        <v>0</v>
      </c>
      <c r="F144" s="14">
        <f t="shared" si="53"/>
        <v>0</v>
      </c>
      <c r="G144" s="14">
        <f t="shared" si="53"/>
        <v>0</v>
      </c>
      <c r="H144" s="14">
        <f t="shared" si="53"/>
        <v>42656</v>
      </c>
      <c r="I144" s="14">
        <f>SUM(I142:I143)</f>
        <v>0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</row>
    <row r="145" spans="1:209" s="6" customFormat="1" ht="18" customHeight="1">
      <c r="A145" s="51" t="s">
        <v>56</v>
      </c>
      <c r="B145" s="56"/>
      <c r="C145" s="36">
        <v>2024</v>
      </c>
      <c r="D145" s="22">
        <f t="shared" ref="D145:I145" si="54">D149+D158+D164+D172</f>
        <v>53744.4</v>
      </c>
      <c r="E145" s="22">
        <f t="shared" si="54"/>
        <v>729.8</v>
      </c>
      <c r="F145" s="22">
        <f t="shared" si="54"/>
        <v>41661.199999999997</v>
      </c>
      <c r="G145" s="22">
        <f t="shared" si="54"/>
        <v>9953.9</v>
      </c>
      <c r="H145" s="22">
        <f t="shared" si="54"/>
        <v>1399.5</v>
      </c>
      <c r="I145" s="22">
        <f t="shared" si="54"/>
        <v>0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</row>
    <row r="146" spans="1:209" s="6" customFormat="1" ht="18" customHeight="1">
      <c r="A146" s="52"/>
      <c r="B146" s="57"/>
      <c r="C146" s="36">
        <v>2025</v>
      </c>
      <c r="D146" s="22">
        <f>SUM(E146:I146)</f>
        <v>15112.099999999999</v>
      </c>
      <c r="E146" s="22">
        <f>E150+E165</f>
        <v>249.5</v>
      </c>
      <c r="F146" s="22">
        <f>F150+F165</f>
        <v>13681.8</v>
      </c>
      <c r="G146" s="22">
        <f>G150+G165</f>
        <v>381.4</v>
      </c>
      <c r="H146" s="22">
        <f>H150+H165</f>
        <v>799.4</v>
      </c>
      <c r="I146" s="22">
        <f>I150+I165</f>
        <v>0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</row>
    <row r="147" spans="1:209" s="6" customFormat="1" ht="18" customHeight="1">
      <c r="A147" s="52"/>
      <c r="B147" s="57"/>
      <c r="C147" s="36">
        <v>2026</v>
      </c>
      <c r="D147" s="22">
        <f t="shared" ref="D147:H147" si="55">D159+D166</f>
        <v>135167.70000000001</v>
      </c>
      <c r="E147" s="22">
        <f t="shared" si="55"/>
        <v>1465.8</v>
      </c>
      <c r="F147" s="22">
        <f t="shared" si="55"/>
        <v>40379.4</v>
      </c>
      <c r="G147" s="22">
        <f t="shared" si="55"/>
        <v>92151</v>
      </c>
      <c r="H147" s="22">
        <f t="shared" si="55"/>
        <v>1171.5</v>
      </c>
      <c r="I147" s="22">
        <f>I159+I166</f>
        <v>0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</row>
    <row r="148" spans="1:209" s="6" customFormat="1" ht="18" customHeight="1">
      <c r="A148" s="53"/>
      <c r="B148" s="58"/>
      <c r="C148" s="36" t="s">
        <v>16</v>
      </c>
      <c r="D148" s="15">
        <f t="shared" ref="D148:I148" si="56">SUM(D145:D147)</f>
        <v>204024.2</v>
      </c>
      <c r="E148" s="15">
        <f t="shared" si="56"/>
        <v>2445.1</v>
      </c>
      <c r="F148" s="15">
        <f t="shared" si="56"/>
        <v>95722.4</v>
      </c>
      <c r="G148" s="15">
        <f t="shared" si="56"/>
        <v>102486.3</v>
      </c>
      <c r="H148" s="15">
        <f t="shared" si="56"/>
        <v>3370.4</v>
      </c>
      <c r="I148" s="15">
        <f t="shared" si="56"/>
        <v>0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</row>
    <row r="149" spans="1:209" s="6" customFormat="1" ht="18" customHeight="1">
      <c r="A149" s="51" t="s">
        <v>26</v>
      </c>
      <c r="B149" s="48"/>
      <c r="C149" s="36">
        <v>2024</v>
      </c>
      <c r="D149" s="15">
        <f t="shared" ref="D149:I150" si="57">D152+D155</f>
        <v>4904.1000000000004</v>
      </c>
      <c r="E149" s="15">
        <f t="shared" si="57"/>
        <v>0</v>
      </c>
      <c r="F149" s="15">
        <f t="shared" si="57"/>
        <v>4560.8</v>
      </c>
      <c r="G149" s="15">
        <f t="shared" si="57"/>
        <v>0</v>
      </c>
      <c r="H149" s="15">
        <f t="shared" si="57"/>
        <v>343.3</v>
      </c>
      <c r="I149" s="15">
        <f t="shared" si="57"/>
        <v>0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</row>
    <row r="150" spans="1:209" s="6" customFormat="1" ht="18" customHeight="1">
      <c r="A150" s="52"/>
      <c r="B150" s="49"/>
      <c r="C150" s="36">
        <v>2025</v>
      </c>
      <c r="D150" s="15">
        <f t="shared" si="57"/>
        <v>12330.4</v>
      </c>
      <c r="E150" s="15">
        <f t="shared" si="57"/>
        <v>0</v>
      </c>
      <c r="F150" s="15">
        <f t="shared" si="57"/>
        <v>11949</v>
      </c>
      <c r="G150" s="15">
        <f t="shared" si="57"/>
        <v>381.4</v>
      </c>
      <c r="H150" s="15">
        <f t="shared" si="57"/>
        <v>0</v>
      </c>
      <c r="I150" s="15">
        <f t="shared" si="57"/>
        <v>0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</row>
    <row r="151" spans="1:209" s="6" customFormat="1" ht="27.75" customHeight="1">
      <c r="A151" s="53"/>
      <c r="B151" s="50"/>
      <c r="C151" s="36" t="s">
        <v>16</v>
      </c>
      <c r="D151" s="15">
        <f t="shared" ref="D151:I151" si="58">SUM(D149:D150)</f>
        <v>17234.5</v>
      </c>
      <c r="E151" s="15">
        <f t="shared" si="58"/>
        <v>0</v>
      </c>
      <c r="F151" s="15">
        <f t="shared" si="58"/>
        <v>16509.8</v>
      </c>
      <c r="G151" s="15">
        <f t="shared" si="58"/>
        <v>381.4</v>
      </c>
      <c r="H151" s="15">
        <f t="shared" si="58"/>
        <v>343.3</v>
      </c>
      <c r="I151" s="15">
        <f t="shared" si="58"/>
        <v>0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</row>
    <row r="152" spans="1:209" s="6" customFormat="1" ht="18" customHeight="1">
      <c r="A152" s="45" t="s">
        <v>21</v>
      </c>
      <c r="B152" s="48"/>
      <c r="C152" s="37">
        <v>2024</v>
      </c>
      <c r="D152" s="14">
        <f>SUM(E152:I152)</f>
        <v>4904.1000000000004</v>
      </c>
      <c r="E152" s="14">
        <v>0</v>
      </c>
      <c r="F152" s="14">
        <v>4560.8</v>
      </c>
      <c r="G152" s="14">
        <v>0</v>
      </c>
      <c r="H152" s="14">
        <v>343.3</v>
      </c>
      <c r="I152" s="14">
        <v>0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</row>
    <row r="153" spans="1:209" s="6" customFormat="1" ht="18" customHeight="1">
      <c r="A153" s="46"/>
      <c r="B153" s="49"/>
      <c r="C153" s="37">
        <v>2025</v>
      </c>
      <c r="D153" s="14">
        <f t="shared" ref="D153" si="59">SUM(E153:I153)</f>
        <v>5448.4</v>
      </c>
      <c r="E153" s="14">
        <v>0</v>
      </c>
      <c r="F153" s="14">
        <v>5067</v>
      </c>
      <c r="G153" s="14">
        <v>381.4</v>
      </c>
      <c r="H153" s="14">
        <v>0</v>
      </c>
      <c r="I153" s="14">
        <v>0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</row>
    <row r="154" spans="1:209" s="6" customFormat="1" ht="18" customHeight="1">
      <c r="A154" s="47"/>
      <c r="B154" s="50"/>
      <c r="C154" s="37" t="s">
        <v>16</v>
      </c>
      <c r="D154" s="14">
        <f t="shared" ref="D154:I154" si="60">SUM(D152:D153)</f>
        <v>10352.5</v>
      </c>
      <c r="E154" s="14">
        <f t="shared" si="60"/>
        <v>0</v>
      </c>
      <c r="F154" s="14">
        <f t="shared" si="60"/>
        <v>9627.7999999999993</v>
      </c>
      <c r="G154" s="14">
        <f t="shared" si="60"/>
        <v>381.4</v>
      </c>
      <c r="H154" s="14">
        <f t="shared" si="60"/>
        <v>343.3</v>
      </c>
      <c r="I154" s="14">
        <f t="shared" si="60"/>
        <v>0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</row>
    <row r="155" spans="1:209" s="6" customFormat="1" ht="18" customHeight="1">
      <c r="A155" s="45" t="s">
        <v>27</v>
      </c>
      <c r="B155" s="48"/>
      <c r="C155" s="37">
        <v>2024</v>
      </c>
      <c r="D155" s="14">
        <f>SUM(E155:I155)</f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</row>
    <row r="156" spans="1:209" s="6" customFormat="1" ht="18" customHeight="1">
      <c r="A156" s="46"/>
      <c r="B156" s="49"/>
      <c r="C156" s="37">
        <v>2025</v>
      </c>
      <c r="D156" s="14">
        <f>SUM(E156:I156)</f>
        <v>6882</v>
      </c>
      <c r="E156" s="14">
        <v>0</v>
      </c>
      <c r="F156" s="14">
        <f>30670.3-23788.3</f>
        <v>6882</v>
      </c>
      <c r="G156" s="14">
        <f>2308.6-2308.6</f>
        <v>0</v>
      </c>
      <c r="H156" s="14">
        <v>0</v>
      </c>
      <c r="I156" s="14">
        <v>0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</row>
    <row r="157" spans="1:209" s="6" customFormat="1" ht="18" customHeight="1">
      <c r="A157" s="47"/>
      <c r="B157" s="50"/>
      <c r="C157" s="37" t="s">
        <v>16</v>
      </c>
      <c r="D157" s="14">
        <f t="shared" ref="D157:I157" si="61">SUM(D155:D156)</f>
        <v>6882</v>
      </c>
      <c r="E157" s="14">
        <f t="shared" si="61"/>
        <v>0</v>
      </c>
      <c r="F157" s="14">
        <f t="shared" si="61"/>
        <v>6882</v>
      </c>
      <c r="G157" s="14">
        <f t="shared" si="61"/>
        <v>0</v>
      </c>
      <c r="H157" s="14">
        <f t="shared" si="61"/>
        <v>0</v>
      </c>
      <c r="I157" s="14">
        <f t="shared" si="61"/>
        <v>0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</row>
    <row r="158" spans="1:209" s="6" customFormat="1" ht="22.5" customHeight="1">
      <c r="A158" s="51" t="s">
        <v>28</v>
      </c>
      <c r="B158" s="48"/>
      <c r="C158" s="36">
        <v>2024</v>
      </c>
      <c r="D158" s="15">
        <f t="shared" ref="D158:H159" si="62">D161</f>
        <v>10215</v>
      </c>
      <c r="E158" s="15">
        <f t="shared" si="62"/>
        <v>0</v>
      </c>
      <c r="F158" s="15">
        <f t="shared" si="62"/>
        <v>9500</v>
      </c>
      <c r="G158" s="15">
        <f t="shared" si="62"/>
        <v>0</v>
      </c>
      <c r="H158" s="15">
        <f t="shared" si="62"/>
        <v>715</v>
      </c>
      <c r="I158" s="15">
        <v>0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</row>
    <row r="159" spans="1:209" s="6" customFormat="1" ht="22.5" customHeight="1">
      <c r="A159" s="52"/>
      <c r="B159" s="49"/>
      <c r="C159" s="36">
        <v>2026</v>
      </c>
      <c r="D159" s="15">
        <f>SUM(E159:I159)</f>
        <v>122151</v>
      </c>
      <c r="E159" s="15">
        <f t="shared" si="62"/>
        <v>0</v>
      </c>
      <c r="F159" s="15">
        <f t="shared" si="62"/>
        <v>30000</v>
      </c>
      <c r="G159" s="15">
        <f t="shared" si="62"/>
        <v>92151</v>
      </c>
      <c r="H159" s="15">
        <f t="shared" si="62"/>
        <v>0</v>
      </c>
      <c r="I159" s="15">
        <f>I162</f>
        <v>0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</row>
    <row r="160" spans="1:209" s="6" customFormat="1" ht="39" customHeight="1">
      <c r="A160" s="53"/>
      <c r="B160" s="50"/>
      <c r="C160" s="36" t="s">
        <v>16</v>
      </c>
      <c r="D160" s="15">
        <f t="shared" ref="D160:H160" si="63">SUM(D158:D159)</f>
        <v>132366</v>
      </c>
      <c r="E160" s="15">
        <f t="shared" si="63"/>
        <v>0</v>
      </c>
      <c r="F160" s="15">
        <f t="shared" si="63"/>
        <v>39500</v>
      </c>
      <c r="G160" s="15">
        <f t="shared" si="63"/>
        <v>92151</v>
      </c>
      <c r="H160" s="15">
        <f t="shared" si="63"/>
        <v>715</v>
      </c>
      <c r="I160" s="15">
        <f>SUM(I158:I159)</f>
        <v>0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</row>
    <row r="161" spans="1:209" s="6" customFormat="1" ht="22.5" customHeight="1">
      <c r="A161" s="45" t="s">
        <v>25</v>
      </c>
      <c r="B161" s="48"/>
      <c r="C161" s="37">
        <v>2024</v>
      </c>
      <c r="D161" s="14">
        <f>SUM(E161:I161)</f>
        <v>10215</v>
      </c>
      <c r="E161" s="14">
        <v>0</v>
      </c>
      <c r="F161" s="14">
        <v>9500</v>
      </c>
      <c r="G161" s="14">
        <v>0</v>
      </c>
      <c r="H161" s="14">
        <v>715</v>
      </c>
      <c r="I161" s="14">
        <v>0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</row>
    <row r="162" spans="1:209" s="6" customFormat="1" ht="22.5" customHeight="1">
      <c r="A162" s="46"/>
      <c r="B162" s="49"/>
      <c r="C162" s="37">
        <v>2026</v>
      </c>
      <c r="D162" s="14">
        <f>SUM(E162:I162)</f>
        <v>122151</v>
      </c>
      <c r="E162" s="14">
        <v>0</v>
      </c>
      <c r="F162" s="14">
        <v>30000</v>
      </c>
      <c r="G162" s="14">
        <f>92151.1-0.1</f>
        <v>92151</v>
      </c>
      <c r="H162" s="14">
        <v>0</v>
      </c>
      <c r="I162" s="14">
        <v>0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</row>
    <row r="163" spans="1:209" s="6" customFormat="1" ht="22.5" customHeight="1">
      <c r="A163" s="47"/>
      <c r="B163" s="50"/>
      <c r="C163" s="37" t="s">
        <v>16</v>
      </c>
      <c r="D163" s="14">
        <f t="shared" ref="D163:H163" si="64">SUM(D161:D162)</f>
        <v>132366</v>
      </c>
      <c r="E163" s="14">
        <f t="shared" si="64"/>
        <v>0</v>
      </c>
      <c r="F163" s="14">
        <f t="shared" si="64"/>
        <v>39500</v>
      </c>
      <c r="G163" s="14">
        <f t="shared" si="64"/>
        <v>92151</v>
      </c>
      <c r="H163" s="14">
        <f t="shared" si="64"/>
        <v>715</v>
      </c>
      <c r="I163" s="14">
        <f>SUM(I161:I162)</f>
        <v>0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</row>
    <row r="164" spans="1:209" s="6" customFormat="1" ht="21.75" customHeight="1">
      <c r="A164" s="51" t="s">
        <v>29</v>
      </c>
      <c r="B164" s="48"/>
      <c r="C164" s="36">
        <v>2024</v>
      </c>
      <c r="D164" s="15">
        <f t="shared" ref="D164:I166" si="65">D168</f>
        <v>4875.3</v>
      </c>
      <c r="E164" s="15">
        <f t="shared" si="65"/>
        <v>729.8</v>
      </c>
      <c r="F164" s="15">
        <f t="shared" si="65"/>
        <v>3804.3</v>
      </c>
      <c r="G164" s="15">
        <f t="shared" si="65"/>
        <v>0</v>
      </c>
      <c r="H164" s="15">
        <f t="shared" si="65"/>
        <v>341.2</v>
      </c>
      <c r="I164" s="15">
        <v>0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</row>
    <row r="165" spans="1:209" s="6" customFormat="1" ht="16.5" customHeight="1">
      <c r="A165" s="52"/>
      <c r="B165" s="49"/>
      <c r="C165" s="36">
        <v>2025</v>
      </c>
      <c r="D165" s="15">
        <f>D169</f>
        <v>2781.7</v>
      </c>
      <c r="E165" s="15">
        <f t="shared" si="65"/>
        <v>249.5</v>
      </c>
      <c r="F165" s="15">
        <f t="shared" si="65"/>
        <v>1732.8</v>
      </c>
      <c r="G165" s="15">
        <f t="shared" si="65"/>
        <v>0</v>
      </c>
      <c r="H165" s="15">
        <f t="shared" si="65"/>
        <v>799.4</v>
      </c>
      <c r="I165" s="15">
        <f>I169</f>
        <v>0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</row>
    <row r="166" spans="1:209" s="6" customFormat="1" ht="20.25" customHeight="1">
      <c r="A166" s="52"/>
      <c r="B166" s="49"/>
      <c r="C166" s="36">
        <v>2026</v>
      </c>
      <c r="D166" s="15">
        <f>D170</f>
        <v>13016.699999999999</v>
      </c>
      <c r="E166" s="15">
        <f t="shared" si="65"/>
        <v>1465.8</v>
      </c>
      <c r="F166" s="15">
        <f t="shared" si="65"/>
        <v>10379.4</v>
      </c>
      <c r="G166" s="15">
        <f t="shared" si="65"/>
        <v>0</v>
      </c>
      <c r="H166" s="15">
        <f t="shared" si="65"/>
        <v>1171.5</v>
      </c>
      <c r="I166" s="15">
        <f t="shared" si="65"/>
        <v>0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</row>
    <row r="167" spans="1:209" s="6" customFormat="1" ht="18" customHeight="1">
      <c r="A167" s="53"/>
      <c r="B167" s="50"/>
      <c r="C167" s="36" t="s">
        <v>16</v>
      </c>
      <c r="D167" s="15">
        <f t="shared" ref="D167:I167" si="66">SUM(D164:D166)</f>
        <v>20673.699999999997</v>
      </c>
      <c r="E167" s="15">
        <f t="shared" si="66"/>
        <v>2445.1</v>
      </c>
      <c r="F167" s="15">
        <f t="shared" si="66"/>
        <v>15916.5</v>
      </c>
      <c r="G167" s="15">
        <f t="shared" si="66"/>
        <v>0</v>
      </c>
      <c r="H167" s="15">
        <f t="shared" si="66"/>
        <v>2312.1</v>
      </c>
      <c r="I167" s="15">
        <f t="shared" si="66"/>
        <v>0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</row>
    <row r="168" spans="1:209" s="6" customFormat="1" ht="18.75" customHeight="1">
      <c r="A168" s="45" t="s">
        <v>30</v>
      </c>
      <c r="B168" s="48"/>
      <c r="C168" s="37">
        <v>2024</v>
      </c>
      <c r="D168" s="14">
        <f>SUM(E168:I168)</f>
        <v>4875.3</v>
      </c>
      <c r="E168" s="14">
        <v>729.8</v>
      </c>
      <c r="F168" s="14">
        <v>3804.3</v>
      </c>
      <c r="G168" s="14">
        <v>0</v>
      </c>
      <c r="H168" s="14">
        <v>341.2</v>
      </c>
      <c r="I168" s="14">
        <v>0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</row>
    <row r="169" spans="1:209" s="6" customFormat="1" ht="19.5" customHeight="1">
      <c r="A169" s="46"/>
      <c r="B169" s="49"/>
      <c r="C169" s="37">
        <v>2025</v>
      </c>
      <c r="D169" s="14">
        <f>SUM(E169:I169)</f>
        <v>2781.7</v>
      </c>
      <c r="E169" s="14">
        <v>249.5</v>
      </c>
      <c r="F169" s="14">
        <v>1732.8</v>
      </c>
      <c r="G169" s="14">
        <v>0</v>
      </c>
      <c r="H169" s="14">
        <v>799.4</v>
      </c>
      <c r="I169" s="14">
        <v>0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</row>
    <row r="170" spans="1:209" s="6" customFormat="1" ht="20.25" customHeight="1">
      <c r="A170" s="46"/>
      <c r="B170" s="49"/>
      <c r="C170" s="37">
        <v>2026</v>
      </c>
      <c r="D170" s="14">
        <f>SUM(E170:I170)</f>
        <v>13016.699999999999</v>
      </c>
      <c r="E170" s="14">
        <v>1465.8</v>
      </c>
      <c r="F170" s="14">
        <f>0+10379.4</f>
        <v>10379.4</v>
      </c>
      <c r="G170" s="14">
        <v>0</v>
      </c>
      <c r="H170" s="14">
        <f>881.7+289.8</f>
        <v>1171.5</v>
      </c>
      <c r="I170" s="14">
        <v>0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</row>
    <row r="171" spans="1:209" ht="19.5" customHeight="1">
      <c r="A171" s="47"/>
      <c r="B171" s="50"/>
      <c r="C171" s="37" t="s">
        <v>16</v>
      </c>
      <c r="D171" s="14">
        <f t="shared" ref="D171:I171" si="67">SUM(D168:D170)</f>
        <v>20673.699999999997</v>
      </c>
      <c r="E171" s="14">
        <f t="shared" si="67"/>
        <v>2445.1</v>
      </c>
      <c r="F171" s="14">
        <f t="shared" si="67"/>
        <v>15916.5</v>
      </c>
      <c r="G171" s="14">
        <f t="shared" si="67"/>
        <v>0</v>
      </c>
      <c r="H171" s="14">
        <f t="shared" si="67"/>
        <v>2312.1</v>
      </c>
      <c r="I171" s="14">
        <f t="shared" si="67"/>
        <v>0</v>
      </c>
    </row>
    <row r="172" spans="1:209" s="6" customFormat="1" ht="39" customHeight="1">
      <c r="A172" s="51" t="s">
        <v>53</v>
      </c>
      <c r="B172" s="48"/>
      <c r="C172" s="36">
        <v>2024</v>
      </c>
      <c r="D172" s="15">
        <f t="shared" ref="D172:H172" si="68">D174</f>
        <v>33750</v>
      </c>
      <c r="E172" s="15">
        <f t="shared" si="68"/>
        <v>0</v>
      </c>
      <c r="F172" s="15">
        <f t="shared" si="68"/>
        <v>23796.1</v>
      </c>
      <c r="G172" s="15">
        <f t="shared" si="68"/>
        <v>9953.9</v>
      </c>
      <c r="H172" s="15">
        <f t="shared" si="68"/>
        <v>0</v>
      </c>
      <c r="I172" s="15">
        <v>0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</row>
    <row r="173" spans="1:209" s="6" customFormat="1" ht="45" customHeight="1">
      <c r="A173" s="53"/>
      <c r="B173" s="50"/>
      <c r="C173" s="36" t="s">
        <v>16</v>
      </c>
      <c r="D173" s="15">
        <f t="shared" ref="D173:I173" si="69">SUM(D172:D172)</f>
        <v>33750</v>
      </c>
      <c r="E173" s="15">
        <f t="shared" si="69"/>
        <v>0</v>
      </c>
      <c r="F173" s="15">
        <f t="shared" si="69"/>
        <v>23796.1</v>
      </c>
      <c r="G173" s="15">
        <f t="shared" si="69"/>
        <v>9953.9</v>
      </c>
      <c r="H173" s="15">
        <f t="shared" si="69"/>
        <v>0</v>
      </c>
      <c r="I173" s="15">
        <f t="shared" si="69"/>
        <v>0</v>
      </c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</row>
    <row r="174" spans="1:209" s="6" customFormat="1" ht="45.75" customHeight="1">
      <c r="A174" s="45" t="s">
        <v>54</v>
      </c>
      <c r="B174" s="48"/>
      <c r="C174" s="37">
        <v>2024</v>
      </c>
      <c r="D174" s="14">
        <f>SUM(E174:I174)</f>
        <v>33750</v>
      </c>
      <c r="E174" s="14">
        <v>0</v>
      </c>
      <c r="F174" s="14">
        <v>23796.1</v>
      </c>
      <c r="G174" s="14">
        <v>9953.9</v>
      </c>
      <c r="H174" s="14">
        <v>0</v>
      </c>
      <c r="I174" s="14">
        <v>0</v>
      </c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</row>
    <row r="175" spans="1:209" ht="50.25" customHeight="1">
      <c r="A175" s="47"/>
      <c r="B175" s="50"/>
      <c r="C175" s="37" t="s">
        <v>16</v>
      </c>
      <c r="D175" s="14">
        <f t="shared" ref="D175:I175" si="70">SUM(D174:D174)</f>
        <v>33750</v>
      </c>
      <c r="E175" s="14">
        <f t="shared" si="70"/>
        <v>0</v>
      </c>
      <c r="F175" s="14">
        <f t="shared" si="70"/>
        <v>23796.1</v>
      </c>
      <c r="G175" s="14">
        <f t="shared" si="70"/>
        <v>9953.9</v>
      </c>
      <c r="H175" s="14">
        <f t="shared" si="70"/>
        <v>0</v>
      </c>
      <c r="I175" s="14">
        <f t="shared" si="70"/>
        <v>0</v>
      </c>
    </row>
    <row r="176" spans="1:209">
      <c r="A176" s="24" t="s">
        <v>31</v>
      </c>
      <c r="B176" s="25"/>
      <c r="C176" s="26"/>
      <c r="D176" s="27"/>
      <c r="E176" s="27"/>
      <c r="F176" s="27"/>
      <c r="G176" s="27"/>
      <c r="H176" s="27"/>
      <c r="I176" s="28"/>
    </row>
    <row r="177" spans="1:209">
      <c r="A177" s="54" t="s">
        <v>32</v>
      </c>
      <c r="B177" s="44"/>
      <c r="C177" s="36">
        <v>2022</v>
      </c>
      <c r="D177" s="22">
        <f t="shared" ref="D177:D181" si="71">SUM(E177:I177)</f>
        <v>183148.7</v>
      </c>
      <c r="E177" s="22">
        <f t="shared" ref="E177:I178" si="72">E186+E270+E294+E311+E340+E357+E391+E411</f>
        <v>132.1</v>
      </c>
      <c r="F177" s="22">
        <f t="shared" si="72"/>
        <v>4245.3999999999996</v>
      </c>
      <c r="G177" s="22">
        <f t="shared" si="72"/>
        <v>995.7</v>
      </c>
      <c r="H177" s="22">
        <f t="shared" si="72"/>
        <v>177775.5</v>
      </c>
      <c r="I177" s="22">
        <f t="shared" si="72"/>
        <v>0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</row>
    <row r="178" spans="1:209">
      <c r="A178" s="54"/>
      <c r="B178" s="44"/>
      <c r="C178" s="36">
        <v>2023</v>
      </c>
      <c r="D178" s="22">
        <f t="shared" si="71"/>
        <v>191150.8</v>
      </c>
      <c r="E178" s="22">
        <f t="shared" si="72"/>
        <v>204.2</v>
      </c>
      <c r="F178" s="22">
        <f t="shared" si="72"/>
        <v>5375.6</v>
      </c>
      <c r="G178" s="22">
        <f t="shared" si="72"/>
        <v>12769.400000000001</v>
      </c>
      <c r="H178" s="22">
        <f t="shared" si="72"/>
        <v>172801.59999999998</v>
      </c>
      <c r="I178" s="22">
        <f t="shared" si="72"/>
        <v>0</v>
      </c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</row>
    <row r="179" spans="1:209">
      <c r="A179" s="54"/>
      <c r="B179" s="44"/>
      <c r="C179" s="36">
        <v>2024</v>
      </c>
      <c r="D179" s="22">
        <f t="shared" si="71"/>
        <v>268046.2</v>
      </c>
      <c r="E179" s="22">
        <f>E188+E272+E296+E313+E342+E359+E413</f>
        <v>0</v>
      </c>
      <c r="F179" s="22">
        <f>F188+F272+F296+F313+F342+F359+F413</f>
        <v>3061.2</v>
      </c>
      <c r="G179" s="22">
        <f>G188+G272+G296+G313+G342+G359+G413</f>
        <v>81831.7</v>
      </c>
      <c r="H179" s="22">
        <f>H188+H272+H296+H313+H342+H359+H413</f>
        <v>173153.30000000002</v>
      </c>
      <c r="I179" s="22">
        <f>I188+I272+I296+I313+I342+I359+I413</f>
        <v>10000</v>
      </c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</row>
    <row r="180" spans="1:209">
      <c r="A180" s="54"/>
      <c r="B180" s="44"/>
      <c r="C180" s="36">
        <v>2025</v>
      </c>
      <c r="D180" s="22">
        <f t="shared" si="71"/>
        <v>269011.5</v>
      </c>
      <c r="E180" s="22">
        <f>E189+E273+E297+E314+E343+E360+E393+E414</f>
        <v>0</v>
      </c>
      <c r="F180" s="22">
        <f>F189+F273+F297+F314+F343+F360+F393+F414</f>
        <v>3024.2</v>
      </c>
      <c r="G180" s="22">
        <f>G189+G273+G297+G314+G343+G360+G393+G414</f>
        <v>82883</v>
      </c>
      <c r="H180" s="22">
        <f>H189+H273+H297+H314+H343+H360+H393+H414</f>
        <v>176104.3</v>
      </c>
      <c r="I180" s="22">
        <f>I189+I273+I297+I314+I343+I360+I393+I414</f>
        <v>7000</v>
      </c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</row>
    <row r="181" spans="1:209">
      <c r="A181" s="54"/>
      <c r="B181" s="44"/>
      <c r="C181" s="36">
        <v>2026</v>
      </c>
      <c r="D181" s="22">
        <f t="shared" si="71"/>
        <v>300846.81734000007</v>
      </c>
      <c r="E181" s="22">
        <f t="shared" ref="E181:H181" si="73">E190+E274+E298+E315+E344+E361+E394+E415</f>
        <v>0</v>
      </c>
      <c r="F181" s="22">
        <f t="shared" si="73"/>
        <v>3054.3</v>
      </c>
      <c r="G181" s="22">
        <f t="shared" si="73"/>
        <v>74377.717340000003</v>
      </c>
      <c r="H181" s="22">
        <f t="shared" si="73"/>
        <v>210414.80000000005</v>
      </c>
      <c r="I181" s="22">
        <f>I190+I274+I298+I315+I344+I361+I394+I415</f>
        <v>13000</v>
      </c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</row>
    <row r="182" spans="1:209">
      <c r="A182" s="54"/>
      <c r="B182" s="44"/>
      <c r="C182" s="36">
        <v>2027</v>
      </c>
      <c r="D182" s="22">
        <f>SUM(E182:I182)</f>
        <v>142848.00000000003</v>
      </c>
      <c r="E182" s="22">
        <f t="shared" ref="E182:I182" si="74">E191+E275+E299+E362+E416+E428</f>
        <v>0</v>
      </c>
      <c r="F182" s="22">
        <f t="shared" si="74"/>
        <v>0</v>
      </c>
      <c r="G182" s="22">
        <f t="shared" si="74"/>
        <v>0</v>
      </c>
      <c r="H182" s="22">
        <f t="shared" si="74"/>
        <v>142848.00000000003</v>
      </c>
      <c r="I182" s="22">
        <f t="shared" si="74"/>
        <v>0</v>
      </c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</row>
    <row r="183" spans="1:209">
      <c r="A183" s="54"/>
      <c r="B183" s="44"/>
      <c r="C183" s="36">
        <v>2028</v>
      </c>
      <c r="D183" s="32">
        <f>SUM(E183:I183)</f>
        <v>155680.79999999999</v>
      </c>
      <c r="E183" s="32">
        <f t="shared" ref="E183:I183" si="75">E192+E276+E300+E363+E417</f>
        <v>0</v>
      </c>
      <c r="F183" s="32">
        <f t="shared" si="75"/>
        <v>0</v>
      </c>
      <c r="G183" s="32">
        <f t="shared" si="75"/>
        <v>0</v>
      </c>
      <c r="H183" s="32">
        <f t="shared" si="75"/>
        <v>155680.79999999999</v>
      </c>
      <c r="I183" s="32">
        <f t="shared" si="75"/>
        <v>0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</row>
    <row r="184" spans="1:209">
      <c r="A184" s="54"/>
      <c r="B184" s="44"/>
      <c r="C184" s="36" t="s">
        <v>16</v>
      </c>
      <c r="D184" s="22">
        <f t="shared" ref="D184:H184" si="76">SUM(D177:D183)</f>
        <v>1510732.8173400001</v>
      </c>
      <c r="E184" s="22">
        <f t="shared" si="76"/>
        <v>336.29999999999995</v>
      </c>
      <c r="F184" s="22">
        <f t="shared" si="76"/>
        <v>18760.7</v>
      </c>
      <c r="G184" s="22">
        <f t="shared" si="76"/>
        <v>252857.51733999999</v>
      </c>
      <c r="H184" s="22">
        <f t="shared" si="76"/>
        <v>1208778.3</v>
      </c>
      <c r="I184" s="22">
        <f>SUM(I177:I183)</f>
        <v>30000</v>
      </c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</row>
    <row r="185" spans="1:209">
      <c r="A185" s="38" t="s">
        <v>70</v>
      </c>
      <c r="B185" s="17"/>
      <c r="C185" s="17"/>
      <c r="D185" s="18"/>
      <c r="E185" s="19"/>
      <c r="F185" s="19"/>
      <c r="G185" s="19"/>
      <c r="H185" s="19"/>
      <c r="I185" s="20"/>
    </row>
    <row r="186" spans="1:209">
      <c r="A186" s="54" t="s">
        <v>16</v>
      </c>
      <c r="B186" s="44"/>
      <c r="C186" s="36">
        <v>2022</v>
      </c>
      <c r="D186" s="15">
        <f t="shared" ref="D186:I187" si="77">D194+D202+D210+D218+D222+D230+D239+D242+D245+D248+D251+D257</f>
        <v>116103.9</v>
      </c>
      <c r="E186" s="15">
        <f t="shared" si="77"/>
        <v>0</v>
      </c>
      <c r="F186" s="15">
        <f t="shared" si="77"/>
        <v>3164.1</v>
      </c>
      <c r="G186" s="15">
        <f t="shared" si="77"/>
        <v>0</v>
      </c>
      <c r="H186" s="15">
        <f t="shared" si="77"/>
        <v>112939.79999999999</v>
      </c>
      <c r="I186" s="15">
        <f t="shared" si="77"/>
        <v>0</v>
      </c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</row>
    <row r="187" spans="1:209">
      <c r="A187" s="54"/>
      <c r="B187" s="44"/>
      <c r="C187" s="36">
        <v>2023</v>
      </c>
      <c r="D187" s="15">
        <f t="shared" si="77"/>
        <v>123934.69999999998</v>
      </c>
      <c r="E187" s="15">
        <f t="shared" si="77"/>
        <v>0</v>
      </c>
      <c r="F187" s="15">
        <f t="shared" si="77"/>
        <v>4101.2</v>
      </c>
      <c r="G187" s="15">
        <f t="shared" si="77"/>
        <v>12140.900000000001</v>
      </c>
      <c r="H187" s="15">
        <f t="shared" si="77"/>
        <v>107692.59999999998</v>
      </c>
      <c r="I187" s="15">
        <f t="shared" si="77"/>
        <v>0</v>
      </c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</row>
    <row r="188" spans="1:209">
      <c r="A188" s="54"/>
      <c r="B188" s="44"/>
      <c r="C188" s="36">
        <v>2024</v>
      </c>
      <c r="D188" s="15">
        <f t="shared" ref="D188:I188" si="78">D196+D204+D212+D220+D224+D232+D253+D259</f>
        <v>193513.5</v>
      </c>
      <c r="E188" s="15">
        <f t="shared" si="78"/>
        <v>0</v>
      </c>
      <c r="F188" s="15">
        <f t="shared" si="78"/>
        <v>3061.2</v>
      </c>
      <c r="G188" s="15">
        <f t="shared" si="78"/>
        <v>76253.7</v>
      </c>
      <c r="H188" s="15">
        <f t="shared" si="78"/>
        <v>104198.6</v>
      </c>
      <c r="I188" s="15">
        <f t="shared" si="78"/>
        <v>10000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</row>
    <row r="189" spans="1:209">
      <c r="A189" s="54"/>
      <c r="B189" s="44"/>
      <c r="C189" s="36">
        <v>2025</v>
      </c>
      <c r="D189" s="15">
        <f t="shared" ref="D189:I189" si="79">D197+D205+D213+D225+D233+D236+D254+D260+D262+D265</f>
        <v>124771.8</v>
      </c>
      <c r="E189" s="15">
        <f t="shared" si="79"/>
        <v>0</v>
      </c>
      <c r="F189" s="15">
        <f t="shared" si="79"/>
        <v>3024.2</v>
      </c>
      <c r="G189" s="15">
        <f t="shared" si="79"/>
        <v>27436.9</v>
      </c>
      <c r="H189" s="15">
        <f t="shared" si="79"/>
        <v>87310.7</v>
      </c>
      <c r="I189" s="15">
        <f t="shared" si="79"/>
        <v>7000</v>
      </c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</row>
    <row r="190" spans="1:209">
      <c r="A190" s="54"/>
      <c r="B190" s="44"/>
      <c r="C190" s="36">
        <v>2026</v>
      </c>
      <c r="D190" s="15">
        <f t="shared" ref="D190:H190" si="80">D198+D206+D214+D226+D234+D255+D263+D267</f>
        <v>152705.01734000002</v>
      </c>
      <c r="E190" s="15">
        <f t="shared" si="80"/>
        <v>0</v>
      </c>
      <c r="F190" s="15">
        <f t="shared" si="80"/>
        <v>3054.3</v>
      </c>
      <c r="G190" s="15">
        <f t="shared" si="80"/>
        <v>19621.717339999999</v>
      </c>
      <c r="H190" s="15">
        <f t="shared" si="80"/>
        <v>117029.00000000003</v>
      </c>
      <c r="I190" s="15">
        <f>I198+I206+I214+I226+I234+I255+I263+I267</f>
        <v>13000</v>
      </c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</row>
    <row r="191" spans="1:209">
      <c r="A191" s="54"/>
      <c r="B191" s="44"/>
      <c r="C191" s="36">
        <v>2027</v>
      </c>
      <c r="D191" s="15">
        <f t="shared" ref="D191:H192" si="81">D199+D207+D215+D227</f>
        <v>71005.400000000009</v>
      </c>
      <c r="E191" s="15">
        <f t="shared" si="81"/>
        <v>0</v>
      </c>
      <c r="F191" s="15">
        <f t="shared" si="81"/>
        <v>0</v>
      </c>
      <c r="G191" s="15">
        <f t="shared" si="81"/>
        <v>0</v>
      </c>
      <c r="H191" s="15">
        <f t="shared" si="81"/>
        <v>71005.400000000009</v>
      </c>
      <c r="I191" s="15">
        <f>I199+I207+I215+I227</f>
        <v>0</v>
      </c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</row>
    <row r="192" spans="1:209">
      <c r="A192" s="54"/>
      <c r="B192" s="44"/>
      <c r="C192" s="36">
        <v>2028</v>
      </c>
      <c r="D192" s="15">
        <f t="shared" si="81"/>
        <v>80314.2</v>
      </c>
      <c r="E192" s="15">
        <f t="shared" si="81"/>
        <v>0</v>
      </c>
      <c r="F192" s="15">
        <f t="shared" si="81"/>
        <v>0</v>
      </c>
      <c r="G192" s="15">
        <f t="shared" si="81"/>
        <v>0</v>
      </c>
      <c r="H192" s="15">
        <f t="shared" si="81"/>
        <v>80314.2</v>
      </c>
      <c r="I192" s="15">
        <f>I200+I208+I216+I228</f>
        <v>0</v>
      </c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</row>
    <row r="193" spans="1:209">
      <c r="A193" s="54"/>
      <c r="B193" s="44"/>
      <c r="C193" s="36" t="s">
        <v>16</v>
      </c>
      <c r="D193" s="15">
        <f t="shared" ref="D193:H193" si="82">SUM(D186:D192)</f>
        <v>862348.51734000002</v>
      </c>
      <c r="E193" s="15">
        <f t="shared" si="82"/>
        <v>0</v>
      </c>
      <c r="F193" s="15">
        <f t="shared" si="82"/>
        <v>16405</v>
      </c>
      <c r="G193" s="15">
        <f t="shared" si="82"/>
        <v>135453.21734</v>
      </c>
      <c r="H193" s="15">
        <f t="shared" si="82"/>
        <v>680490.3</v>
      </c>
      <c r="I193" s="15">
        <f>SUM(I186:I192)</f>
        <v>30000</v>
      </c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</row>
    <row r="194" spans="1:209">
      <c r="A194" s="65" t="s">
        <v>33</v>
      </c>
      <c r="B194" s="61"/>
      <c r="C194" s="37">
        <v>2022</v>
      </c>
      <c r="D194" s="14">
        <f t="shared" ref="D194:D199" si="83">SUM(E194:I194)</f>
        <v>49765.7</v>
      </c>
      <c r="E194" s="14">
        <v>0</v>
      </c>
      <c r="F194" s="14">
        <v>0</v>
      </c>
      <c r="G194" s="14">
        <v>0</v>
      </c>
      <c r="H194" s="14">
        <v>49765.7</v>
      </c>
      <c r="I194" s="14">
        <v>0</v>
      </c>
    </row>
    <row r="195" spans="1:209" s="6" customFormat="1">
      <c r="A195" s="65"/>
      <c r="B195" s="61"/>
      <c r="C195" s="37">
        <v>2023</v>
      </c>
      <c r="D195" s="14">
        <f t="shared" si="83"/>
        <v>42525.2</v>
      </c>
      <c r="E195" s="14">
        <v>0</v>
      </c>
      <c r="F195" s="14">
        <v>0</v>
      </c>
      <c r="G195" s="14">
        <v>0</v>
      </c>
      <c r="H195" s="14">
        <v>42525.2</v>
      </c>
      <c r="I195" s="14">
        <v>0</v>
      </c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</row>
    <row r="196" spans="1:209" s="6" customFormat="1">
      <c r="A196" s="65"/>
      <c r="B196" s="61"/>
      <c r="C196" s="37">
        <v>2024</v>
      </c>
      <c r="D196" s="14">
        <f t="shared" si="83"/>
        <v>30396.2</v>
      </c>
      <c r="E196" s="14">
        <v>0</v>
      </c>
      <c r="F196" s="14">
        <v>0</v>
      </c>
      <c r="G196" s="14">
        <v>0</v>
      </c>
      <c r="H196" s="14">
        <v>30396.2</v>
      </c>
      <c r="I196" s="14">
        <v>0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</row>
    <row r="197" spans="1:209" s="6" customFormat="1">
      <c r="A197" s="65"/>
      <c r="B197" s="61"/>
      <c r="C197" s="37">
        <v>2025</v>
      </c>
      <c r="D197" s="14">
        <f t="shared" si="83"/>
        <v>58124.800000000003</v>
      </c>
      <c r="E197" s="14">
        <v>0</v>
      </c>
      <c r="F197" s="14">
        <v>0</v>
      </c>
      <c r="G197" s="14">
        <v>0</v>
      </c>
      <c r="H197" s="14">
        <f>29916.9+23910-2670.5-0.1-162+130.5</f>
        <v>51124.800000000003</v>
      </c>
      <c r="I197" s="14">
        <v>7000</v>
      </c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</row>
    <row r="198" spans="1:209" s="6" customFormat="1">
      <c r="A198" s="65"/>
      <c r="B198" s="61"/>
      <c r="C198" s="37">
        <v>2026</v>
      </c>
      <c r="D198" s="14">
        <f t="shared" si="83"/>
        <v>94576.1</v>
      </c>
      <c r="E198" s="14">
        <v>0</v>
      </c>
      <c r="F198" s="14">
        <v>0</v>
      </c>
      <c r="G198" s="14">
        <v>0</v>
      </c>
      <c r="H198" s="14">
        <f>66898.3+12757.3-2000+2456-171.3-9.8-263.5+598.6+570+1548.8+595-22.8+590-1585.5-385</f>
        <v>81576.100000000006</v>
      </c>
      <c r="I198" s="14">
        <f>0+6000+7000</f>
        <v>13000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</row>
    <row r="199" spans="1:209" s="6" customFormat="1">
      <c r="A199" s="65"/>
      <c r="B199" s="61"/>
      <c r="C199" s="37">
        <v>2027</v>
      </c>
      <c r="D199" s="14">
        <f t="shared" si="83"/>
        <v>41139.600000000006</v>
      </c>
      <c r="E199" s="14">
        <v>0</v>
      </c>
      <c r="F199" s="14">
        <v>0</v>
      </c>
      <c r="G199" s="14">
        <v>0</v>
      </c>
      <c r="H199" s="14">
        <f>49474.2-4766.2-3046.7-521.7</f>
        <v>41139.600000000006</v>
      </c>
      <c r="I199" s="14">
        <v>0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</row>
    <row r="200" spans="1:209" s="6" customFormat="1">
      <c r="A200" s="65"/>
      <c r="B200" s="61"/>
      <c r="C200" s="37">
        <v>2028</v>
      </c>
      <c r="D200" s="14">
        <f>SUM(E200:I200)</f>
        <v>49474.2</v>
      </c>
      <c r="E200" s="14">
        <v>0</v>
      </c>
      <c r="F200" s="14">
        <v>0</v>
      </c>
      <c r="G200" s="14">
        <v>0</v>
      </c>
      <c r="H200" s="14">
        <v>49474.2</v>
      </c>
      <c r="I200" s="14">
        <v>0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</row>
    <row r="201" spans="1:209" s="6" customFormat="1">
      <c r="A201" s="65"/>
      <c r="B201" s="61"/>
      <c r="C201" s="37" t="s">
        <v>16</v>
      </c>
      <c r="D201" s="14">
        <f>SUM(D194:D200)</f>
        <v>366001.8</v>
      </c>
      <c r="E201" s="14">
        <f t="shared" ref="E201:H201" si="84">SUM(E194:E200)</f>
        <v>0</v>
      </c>
      <c r="F201" s="14">
        <f t="shared" si="84"/>
        <v>0</v>
      </c>
      <c r="G201" s="14">
        <f t="shared" si="84"/>
        <v>0</v>
      </c>
      <c r="H201" s="14">
        <f t="shared" si="84"/>
        <v>346001.8</v>
      </c>
      <c r="I201" s="14">
        <f>SUM(I194:I200)</f>
        <v>20000</v>
      </c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</row>
    <row r="202" spans="1:209" s="6" customFormat="1">
      <c r="A202" s="45" t="s">
        <v>34</v>
      </c>
      <c r="B202" s="61"/>
      <c r="C202" s="37">
        <v>2022</v>
      </c>
      <c r="D202" s="14">
        <f t="shared" ref="D202:D207" si="85">SUM(E202:I202)</f>
        <v>9189</v>
      </c>
      <c r="E202" s="14">
        <v>0</v>
      </c>
      <c r="F202" s="14">
        <v>0</v>
      </c>
      <c r="G202" s="14">
        <v>0</v>
      </c>
      <c r="H202" s="14">
        <v>9189</v>
      </c>
      <c r="I202" s="14">
        <v>0</v>
      </c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</row>
    <row r="203" spans="1:209" s="6" customFormat="1">
      <c r="A203" s="46"/>
      <c r="B203" s="61"/>
      <c r="C203" s="37">
        <v>2023</v>
      </c>
      <c r="D203" s="14">
        <f t="shared" si="85"/>
        <v>9773.1</v>
      </c>
      <c r="E203" s="14">
        <v>0</v>
      </c>
      <c r="F203" s="14">
        <v>0</v>
      </c>
      <c r="G203" s="14">
        <v>0</v>
      </c>
      <c r="H203" s="14">
        <v>9773.1</v>
      </c>
      <c r="I203" s="14">
        <v>0</v>
      </c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</row>
    <row r="204" spans="1:209" s="6" customFormat="1">
      <c r="A204" s="46"/>
      <c r="B204" s="61"/>
      <c r="C204" s="37">
        <v>2024</v>
      </c>
      <c r="D204" s="14">
        <f t="shared" si="85"/>
        <v>8391.7999999999993</v>
      </c>
      <c r="E204" s="14">
        <v>0</v>
      </c>
      <c r="F204" s="14">
        <v>0</v>
      </c>
      <c r="G204" s="14">
        <v>0</v>
      </c>
      <c r="H204" s="14">
        <v>8391.7999999999993</v>
      </c>
      <c r="I204" s="14">
        <v>0</v>
      </c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</row>
    <row r="205" spans="1:209" s="6" customFormat="1">
      <c r="A205" s="46"/>
      <c r="B205" s="61"/>
      <c r="C205" s="37">
        <v>2025</v>
      </c>
      <c r="D205" s="14">
        <f t="shared" si="85"/>
        <v>9728.2999999999993</v>
      </c>
      <c r="E205" s="14">
        <v>0</v>
      </c>
      <c r="F205" s="14">
        <v>0</v>
      </c>
      <c r="G205" s="14">
        <v>0</v>
      </c>
      <c r="H205" s="14">
        <f>9575.3+153</f>
        <v>9728.2999999999993</v>
      </c>
      <c r="I205" s="14">
        <v>0</v>
      </c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</row>
    <row r="206" spans="1:209" s="6" customFormat="1">
      <c r="A206" s="46"/>
      <c r="B206" s="61"/>
      <c r="C206" s="37">
        <v>2026</v>
      </c>
      <c r="D206" s="14">
        <f t="shared" si="85"/>
        <v>12388.599999999999</v>
      </c>
      <c r="E206" s="14">
        <v>0</v>
      </c>
      <c r="F206" s="14">
        <v>0</v>
      </c>
      <c r="G206" s="14">
        <v>0</v>
      </c>
      <c r="H206" s="14">
        <f>9571.8+2220.4+596.4</f>
        <v>12388.599999999999</v>
      </c>
      <c r="I206" s="14">
        <v>0</v>
      </c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</row>
    <row r="207" spans="1:209" s="6" customFormat="1">
      <c r="A207" s="46"/>
      <c r="B207" s="61"/>
      <c r="C207" s="37">
        <v>2027</v>
      </c>
      <c r="D207" s="14">
        <f t="shared" si="85"/>
        <v>9571.7999999999993</v>
      </c>
      <c r="E207" s="14">
        <v>0</v>
      </c>
      <c r="F207" s="14">
        <v>0</v>
      </c>
      <c r="G207" s="14">
        <v>0</v>
      </c>
      <c r="H207" s="14">
        <v>9571.7999999999993</v>
      </c>
      <c r="I207" s="14">
        <v>0</v>
      </c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</row>
    <row r="208" spans="1:209" s="6" customFormat="1">
      <c r="A208" s="46"/>
      <c r="B208" s="61"/>
      <c r="C208" s="37">
        <v>2028</v>
      </c>
      <c r="D208" s="14">
        <f>SUM(E208:I208)</f>
        <v>9571.7999999999993</v>
      </c>
      <c r="E208" s="14">
        <v>0</v>
      </c>
      <c r="F208" s="14">
        <v>0</v>
      </c>
      <c r="G208" s="14">
        <v>0</v>
      </c>
      <c r="H208" s="14">
        <v>9571.7999999999993</v>
      </c>
      <c r="I208" s="14">
        <v>0</v>
      </c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</row>
    <row r="209" spans="1:209" s="6" customFormat="1">
      <c r="A209" s="47"/>
      <c r="B209" s="61"/>
      <c r="C209" s="37" t="s">
        <v>16</v>
      </c>
      <c r="D209" s="14">
        <f>SUM(D202:D208)</f>
        <v>68614.399999999994</v>
      </c>
      <c r="E209" s="14">
        <f t="shared" ref="E209:H209" si="86">SUM(E202:E208)</f>
        <v>0</v>
      </c>
      <c r="F209" s="14">
        <f t="shared" si="86"/>
        <v>0</v>
      </c>
      <c r="G209" s="14">
        <f t="shared" si="86"/>
        <v>0</v>
      </c>
      <c r="H209" s="14">
        <f t="shared" si="86"/>
        <v>68614.399999999994</v>
      </c>
      <c r="I209" s="14">
        <f>SUM(I202:I208)</f>
        <v>0</v>
      </c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</row>
    <row r="210" spans="1:209" s="6" customFormat="1">
      <c r="A210" s="45" t="s">
        <v>35</v>
      </c>
      <c r="B210" s="61"/>
      <c r="C210" s="37">
        <v>2022</v>
      </c>
      <c r="D210" s="21">
        <f t="shared" ref="D210:D215" si="87">SUM(E210:I210)</f>
        <v>16065.4</v>
      </c>
      <c r="E210" s="14">
        <v>0</v>
      </c>
      <c r="F210" s="14">
        <v>0</v>
      </c>
      <c r="G210" s="14">
        <v>0</v>
      </c>
      <c r="H210" s="14">
        <v>16065.4</v>
      </c>
      <c r="I210" s="14">
        <v>0</v>
      </c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</row>
    <row r="211" spans="1:209" s="6" customFormat="1">
      <c r="A211" s="46"/>
      <c r="B211" s="61"/>
      <c r="C211" s="37">
        <v>2023</v>
      </c>
      <c r="D211" s="21">
        <f t="shared" si="87"/>
        <v>23656.2</v>
      </c>
      <c r="E211" s="14">
        <v>0</v>
      </c>
      <c r="F211" s="14">
        <v>0</v>
      </c>
      <c r="G211" s="14">
        <v>0</v>
      </c>
      <c r="H211" s="14">
        <v>23656.2</v>
      </c>
      <c r="I211" s="14">
        <v>0</v>
      </c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</row>
    <row r="212" spans="1:209" s="6" customFormat="1">
      <c r="A212" s="46"/>
      <c r="B212" s="61"/>
      <c r="C212" s="37">
        <v>2024</v>
      </c>
      <c r="D212" s="21">
        <f t="shared" si="87"/>
        <v>18248.3</v>
      </c>
      <c r="E212" s="14">
        <v>0</v>
      </c>
      <c r="F212" s="14">
        <v>0</v>
      </c>
      <c r="G212" s="14">
        <v>0</v>
      </c>
      <c r="H212" s="14">
        <v>18248.3</v>
      </c>
      <c r="I212" s="14">
        <v>0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</row>
    <row r="213" spans="1:209" s="6" customFormat="1">
      <c r="A213" s="46"/>
      <c r="B213" s="61"/>
      <c r="C213" s="37">
        <v>2025</v>
      </c>
      <c r="D213" s="21">
        <f t="shared" si="87"/>
        <v>20665</v>
      </c>
      <c r="E213" s="14">
        <v>0</v>
      </c>
      <c r="F213" s="14">
        <v>0</v>
      </c>
      <c r="G213" s="14">
        <v>0</v>
      </c>
      <c r="H213" s="14">
        <f>19065+1600</f>
        <v>20665</v>
      </c>
      <c r="I213" s="14">
        <v>0</v>
      </c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</row>
    <row r="214" spans="1:209" s="6" customFormat="1">
      <c r="A214" s="46"/>
      <c r="B214" s="61"/>
      <c r="C214" s="37">
        <v>2026</v>
      </c>
      <c r="D214" s="21">
        <f t="shared" si="87"/>
        <v>20363.099999999999</v>
      </c>
      <c r="E214" s="14">
        <v>0</v>
      </c>
      <c r="F214" s="14">
        <v>0</v>
      </c>
      <c r="G214" s="14">
        <v>0</v>
      </c>
      <c r="H214" s="14">
        <f>20294+3.8+42.5+22.8</f>
        <v>20363.099999999999</v>
      </c>
      <c r="I214" s="14">
        <v>0</v>
      </c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</row>
    <row r="215" spans="1:209" s="6" customFormat="1">
      <c r="A215" s="46"/>
      <c r="B215" s="61"/>
      <c r="C215" s="37">
        <v>2027</v>
      </c>
      <c r="D215" s="21">
        <f t="shared" si="87"/>
        <v>20294</v>
      </c>
      <c r="E215" s="14">
        <v>0</v>
      </c>
      <c r="F215" s="14">
        <v>0</v>
      </c>
      <c r="G215" s="14">
        <v>0</v>
      </c>
      <c r="H215" s="14">
        <v>20294</v>
      </c>
      <c r="I215" s="14">
        <v>0</v>
      </c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</row>
    <row r="216" spans="1:209" s="6" customFormat="1">
      <c r="A216" s="46"/>
      <c r="B216" s="61"/>
      <c r="C216" s="37">
        <v>2028</v>
      </c>
      <c r="D216" s="14">
        <f>SUM(E216:I216)</f>
        <v>20294</v>
      </c>
      <c r="E216" s="14">
        <v>0</v>
      </c>
      <c r="F216" s="14">
        <v>0</v>
      </c>
      <c r="G216" s="14">
        <v>0</v>
      </c>
      <c r="H216" s="14">
        <v>20294</v>
      </c>
      <c r="I216" s="14">
        <v>0</v>
      </c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</row>
    <row r="217" spans="1:209" s="6" customFormat="1">
      <c r="A217" s="47"/>
      <c r="B217" s="61"/>
      <c r="C217" s="37" t="s">
        <v>16</v>
      </c>
      <c r="D217" s="21">
        <f>SUM(D210:D216)</f>
        <v>139586</v>
      </c>
      <c r="E217" s="21">
        <f t="shared" ref="E217:H217" si="88">SUM(E210:E216)</f>
        <v>0</v>
      </c>
      <c r="F217" s="21">
        <f t="shared" si="88"/>
        <v>0</v>
      </c>
      <c r="G217" s="21">
        <f t="shared" si="88"/>
        <v>0</v>
      </c>
      <c r="H217" s="21">
        <f t="shared" si="88"/>
        <v>139586</v>
      </c>
      <c r="I217" s="21">
        <f>SUM(I210:I216)</f>
        <v>0</v>
      </c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</row>
    <row r="218" spans="1:209" s="6" customFormat="1" ht="18.75" customHeight="1">
      <c r="A218" s="45" t="s">
        <v>36</v>
      </c>
      <c r="B218" s="61"/>
      <c r="C218" s="37">
        <v>2022</v>
      </c>
      <c r="D218" s="14">
        <f t="shared" ref="D218:D220" si="89">SUM(E218:I218)</f>
        <v>17098.7</v>
      </c>
      <c r="E218" s="14">
        <v>0</v>
      </c>
      <c r="F218" s="14">
        <v>0</v>
      </c>
      <c r="G218" s="14">
        <v>0</v>
      </c>
      <c r="H218" s="14">
        <v>17098.7</v>
      </c>
      <c r="I218" s="14">
        <v>0</v>
      </c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</row>
    <row r="219" spans="1:209" s="6" customFormat="1">
      <c r="A219" s="46"/>
      <c r="B219" s="61"/>
      <c r="C219" s="37">
        <v>2023</v>
      </c>
      <c r="D219" s="14">
        <f t="shared" si="89"/>
        <v>5196.8999999999996</v>
      </c>
      <c r="E219" s="14">
        <v>0</v>
      </c>
      <c r="F219" s="14">
        <v>0</v>
      </c>
      <c r="G219" s="14">
        <v>0</v>
      </c>
      <c r="H219" s="14">
        <v>5196.8999999999996</v>
      </c>
      <c r="I219" s="14">
        <v>0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</row>
    <row r="220" spans="1:209">
      <c r="A220" s="46"/>
      <c r="B220" s="61"/>
      <c r="C220" s="37">
        <v>2024</v>
      </c>
      <c r="D220" s="14">
        <f t="shared" si="89"/>
        <v>49770.400000000001</v>
      </c>
      <c r="E220" s="14">
        <v>0</v>
      </c>
      <c r="F220" s="14">
        <v>0</v>
      </c>
      <c r="G220" s="14">
        <v>0</v>
      </c>
      <c r="H220" s="14">
        <v>39770.400000000001</v>
      </c>
      <c r="I220" s="14">
        <v>10000</v>
      </c>
    </row>
    <row r="221" spans="1:209">
      <c r="A221" s="47"/>
      <c r="B221" s="61"/>
      <c r="C221" s="37" t="s">
        <v>16</v>
      </c>
      <c r="D221" s="14">
        <f t="shared" ref="D221:I221" si="90">SUM(D218:D220)</f>
        <v>72066</v>
      </c>
      <c r="E221" s="14">
        <f t="shared" si="90"/>
        <v>0</v>
      </c>
      <c r="F221" s="14">
        <f t="shared" si="90"/>
        <v>0</v>
      </c>
      <c r="G221" s="14">
        <f t="shared" si="90"/>
        <v>0</v>
      </c>
      <c r="H221" s="14">
        <f t="shared" si="90"/>
        <v>62066</v>
      </c>
      <c r="I221" s="14">
        <f t="shared" si="90"/>
        <v>10000</v>
      </c>
    </row>
    <row r="222" spans="1:209">
      <c r="A222" s="45" t="s">
        <v>37</v>
      </c>
      <c r="B222" s="61"/>
      <c r="C222" s="37">
        <v>2022</v>
      </c>
      <c r="D222" s="14">
        <f t="shared" ref="D222:D228" si="91">SUM(E222:I222)</f>
        <v>20168.8</v>
      </c>
      <c r="E222" s="14">
        <v>0</v>
      </c>
      <c r="F222" s="14">
        <v>0</v>
      </c>
      <c r="G222" s="14">
        <v>0</v>
      </c>
      <c r="H222" s="14">
        <v>20168.8</v>
      </c>
      <c r="I222" s="14">
        <v>0</v>
      </c>
    </row>
    <row r="223" spans="1:209">
      <c r="A223" s="46"/>
      <c r="B223" s="61"/>
      <c r="C223" s="37">
        <v>2023</v>
      </c>
      <c r="D223" s="14">
        <f t="shared" si="91"/>
        <v>21829.200000000001</v>
      </c>
      <c r="E223" s="14">
        <v>0</v>
      </c>
      <c r="F223" s="14">
        <v>0</v>
      </c>
      <c r="G223" s="14">
        <v>0</v>
      </c>
      <c r="H223" s="14">
        <v>21829.200000000001</v>
      </c>
      <c r="I223" s="14">
        <v>0</v>
      </c>
    </row>
    <row r="224" spans="1:209">
      <c r="A224" s="46"/>
      <c r="B224" s="61"/>
      <c r="C224" s="37">
        <v>2024</v>
      </c>
      <c r="D224" s="14">
        <f t="shared" si="91"/>
        <v>1303.7</v>
      </c>
      <c r="E224" s="14">
        <v>0</v>
      </c>
      <c r="F224" s="14">
        <v>0</v>
      </c>
      <c r="G224" s="14">
        <v>0</v>
      </c>
      <c r="H224" s="14">
        <v>1303.7</v>
      </c>
      <c r="I224" s="14">
        <v>0</v>
      </c>
    </row>
    <row r="225" spans="1:209">
      <c r="A225" s="46"/>
      <c r="B225" s="61"/>
      <c r="C225" s="37">
        <v>2025</v>
      </c>
      <c r="D225" s="14">
        <f t="shared" si="91"/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</row>
    <row r="226" spans="1:209">
      <c r="A226" s="46"/>
      <c r="B226" s="61"/>
      <c r="C226" s="37">
        <v>2026</v>
      </c>
      <c r="D226" s="14">
        <f t="shared" si="91"/>
        <v>562.80000000000018</v>
      </c>
      <c r="E226" s="14">
        <v>0</v>
      </c>
      <c r="F226" s="14">
        <v>0</v>
      </c>
      <c r="G226" s="14">
        <v>0</v>
      </c>
      <c r="H226" s="14">
        <f>4400-4400+4400-1085-2752.2</f>
        <v>562.80000000000018</v>
      </c>
      <c r="I226" s="14">
        <v>0</v>
      </c>
    </row>
    <row r="227" spans="1:209">
      <c r="A227" s="46"/>
      <c r="B227" s="61"/>
      <c r="C227" s="37">
        <v>2027</v>
      </c>
      <c r="D227" s="14">
        <f t="shared" si="91"/>
        <v>0</v>
      </c>
      <c r="E227" s="14">
        <v>0</v>
      </c>
      <c r="F227" s="14">
        <v>0</v>
      </c>
      <c r="G227" s="14">
        <v>0</v>
      </c>
      <c r="H227" s="14">
        <f>4400-3929.6-470.4</f>
        <v>0</v>
      </c>
      <c r="I227" s="14">
        <v>0</v>
      </c>
    </row>
    <row r="228" spans="1:209">
      <c r="A228" s="46"/>
      <c r="B228" s="61"/>
      <c r="C228" s="37">
        <v>2028</v>
      </c>
      <c r="D228" s="14">
        <f t="shared" si="91"/>
        <v>974.19999999999982</v>
      </c>
      <c r="E228" s="14">
        <v>0</v>
      </c>
      <c r="F228" s="14">
        <v>0</v>
      </c>
      <c r="G228" s="14">
        <v>0</v>
      </c>
      <c r="H228" s="14">
        <f>4400-3425.8</f>
        <v>974.19999999999982</v>
      </c>
      <c r="I228" s="14">
        <v>0</v>
      </c>
    </row>
    <row r="229" spans="1:209">
      <c r="A229" s="47"/>
      <c r="B229" s="61"/>
      <c r="C229" s="37" t="s">
        <v>16</v>
      </c>
      <c r="D229" s="14">
        <f>SUM(D222:D228)</f>
        <v>44838.7</v>
      </c>
      <c r="E229" s="14">
        <f t="shared" ref="E229:H229" si="92">SUM(E222:E228)</f>
        <v>0</v>
      </c>
      <c r="F229" s="14">
        <f t="shared" si="92"/>
        <v>0</v>
      </c>
      <c r="G229" s="14">
        <f t="shared" si="92"/>
        <v>0</v>
      </c>
      <c r="H229" s="14">
        <f t="shared" si="92"/>
        <v>44838.7</v>
      </c>
      <c r="I229" s="14">
        <f>SUM(I222:I228)</f>
        <v>0</v>
      </c>
    </row>
    <row r="230" spans="1:209" ht="39.950000000000003" customHeight="1">
      <c r="A230" s="62" t="s">
        <v>81</v>
      </c>
      <c r="B230" s="61"/>
      <c r="C230" s="37">
        <v>2022</v>
      </c>
      <c r="D230" s="14">
        <f t="shared" ref="D230:D232" si="93">SUM(E230:I230)</f>
        <v>3816.3</v>
      </c>
      <c r="E230" s="14">
        <v>0</v>
      </c>
      <c r="F230" s="14">
        <v>3164.1</v>
      </c>
      <c r="G230" s="14">
        <v>0</v>
      </c>
      <c r="H230" s="14">
        <v>652.20000000000005</v>
      </c>
      <c r="I230" s="14">
        <v>0</v>
      </c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  <c r="FF230" s="13"/>
      <c r="FG230" s="13"/>
      <c r="FH230" s="13"/>
      <c r="FI230" s="13"/>
      <c r="FJ230" s="13"/>
      <c r="FK230" s="13"/>
      <c r="FL230" s="13"/>
      <c r="FM230" s="13"/>
      <c r="FN230" s="13"/>
      <c r="FO230" s="13"/>
      <c r="FP230" s="13"/>
      <c r="FQ230" s="13"/>
      <c r="FR230" s="13"/>
      <c r="FS230" s="13"/>
      <c r="FT230" s="13"/>
      <c r="FU230" s="13"/>
      <c r="FV230" s="13"/>
      <c r="FW230" s="13"/>
      <c r="FX230" s="13"/>
      <c r="FY230" s="13"/>
      <c r="FZ230" s="13"/>
      <c r="GA230" s="13"/>
      <c r="GB230" s="13"/>
      <c r="GC230" s="13"/>
      <c r="GD230" s="13"/>
      <c r="GE230" s="13"/>
      <c r="GF230" s="13"/>
      <c r="GG230" s="13"/>
      <c r="GH230" s="13"/>
      <c r="GI230" s="13"/>
      <c r="GJ230" s="13"/>
      <c r="GK230" s="13"/>
      <c r="GL230" s="13"/>
      <c r="GM230" s="13"/>
      <c r="GN230" s="13"/>
      <c r="GO230" s="13"/>
      <c r="GP230" s="13"/>
      <c r="GQ230" s="13"/>
      <c r="GR230" s="13"/>
      <c r="GS230" s="13"/>
      <c r="GT230" s="13"/>
      <c r="GU230" s="13"/>
      <c r="GV230" s="13"/>
      <c r="GW230" s="13"/>
      <c r="GX230" s="13"/>
      <c r="GY230" s="13"/>
      <c r="GZ230" s="13"/>
      <c r="HA230" s="13"/>
    </row>
    <row r="231" spans="1:209" ht="39.950000000000003" customHeight="1">
      <c r="A231" s="63"/>
      <c r="B231" s="61"/>
      <c r="C231" s="37">
        <v>2023</v>
      </c>
      <c r="D231" s="14">
        <f t="shared" si="93"/>
        <v>3803.3999999999996</v>
      </c>
      <c r="E231" s="14">
        <v>0</v>
      </c>
      <c r="F231" s="14">
        <v>3151.2</v>
      </c>
      <c r="G231" s="14">
        <v>0</v>
      </c>
      <c r="H231" s="14">
        <v>652.20000000000005</v>
      </c>
      <c r="I231" s="14">
        <v>0</v>
      </c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  <c r="FC231" s="13"/>
      <c r="FD231" s="13"/>
      <c r="FE231" s="13"/>
      <c r="FF231" s="13"/>
      <c r="FG231" s="13"/>
      <c r="FH231" s="13"/>
      <c r="FI231" s="13"/>
      <c r="FJ231" s="13"/>
      <c r="FK231" s="13"/>
      <c r="FL231" s="13"/>
      <c r="FM231" s="13"/>
      <c r="FN231" s="13"/>
      <c r="FO231" s="13"/>
      <c r="FP231" s="13"/>
      <c r="FQ231" s="13"/>
      <c r="FR231" s="13"/>
      <c r="FS231" s="13"/>
      <c r="FT231" s="13"/>
      <c r="FU231" s="13"/>
      <c r="FV231" s="13"/>
      <c r="FW231" s="13"/>
      <c r="FX231" s="13"/>
      <c r="FY231" s="13"/>
      <c r="FZ231" s="13"/>
      <c r="GA231" s="13"/>
      <c r="GB231" s="13"/>
      <c r="GC231" s="13"/>
      <c r="GD231" s="13"/>
      <c r="GE231" s="13"/>
      <c r="GF231" s="13"/>
      <c r="GG231" s="13"/>
      <c r="GH231" s="13"/>
      <c r="GI231" s="13"/>
      <c r="GJ231" s="13"/>
      <c r="GK231" s="13"/>
      <c r="GL231" s="13"/>
      <c r="GM231" s="13"/>
      <c r="GN231" s="13"/>
      <c r="GO231" s="13"/>
      <c r="GP231" s="13"/>
      <c r="GQ231" s="13"/>
      <c r="GR231" s="13"/>
      <c r="GS231" s="13"/>
      <c r="GT231" s="13"/>
      <c r="GU231" s="13"/>
      <c r="GV231" s="13"/>
      <c r="GW231" s="13"/>
      <c r="GX231" s="13"/>
      <c r="GY231" s="13"/>
      <c r="GZ231" s="13"/>
      <c r="HA231" s="13"/>
    </row>
    <row r="232" spans="1:209" ht="39.950000000000003" customHeight="1">
      <c r="A232" s="63"/>
      <c r="B232" s="61"/>
      <c r="C232" s="37">
        <v>2024</v>
      </c>
      <c r="D232" s="14">
        <f t="shared" si="93"/>
        <v>3291.6</v>
      </c>
      <c r="E232" s="14">
        <v>0</v>
      </c>
      <c r="F232" s="14">
        <v>3061.2</v>
      </c>
      <c r="G232" s="14">
        <v>0</v>
      </c>
      <c r="H232" s="14">
        <v>230.4</v>
      </c>
      <c r="I232" s="14">
        <v>0</v>
      </c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  <c r="FF232" s="13"/>
      <c r="FG232" s="13"/>
      <c r="FH232" s="13"/>
      <c r="FI232" s="13"/>
      <c r="FJ232" s="13"/>
      <c r="FK232" s="13"/>
      <c r="FL232" s="13"/>
      <c r="FM232" s="13"/>
      <c r="FN232" s="13"/>
      <c r="FO232" s="13"/>
      <c r="FP232" s="13"/>
      <c r="FQ232" s="13"/>
      <c r="FR232" s="13"/>
      <c r="FS232" s="13"/>
      <c r="FT232" s="13"/>
      <c r="FU232" s="13"/>
      <c r="FV232" s="13"/>
      <c r="FW232" s="13"/>
      <c r="FX232" s="13"/>
      <c r="FY232" s="13"/>
      <c r="FZ232" s="13"/>
      <c r="GA232" s="13"/>
      <c r="GB232" s="13"/>
      <c r="GC232" s="13"/>
      <c r="GD232" s="13"/>
      <c r="GE232" s="13"/>
      <c r="GF232" s="13"/>
      <c r="GG232" s="13"/>
      <c r="GH232" s="13"/>
      <c r="GI232" s="13"/>
      <c r="GJ232" s="13"/>
      <c r="GK232" s="13"/>
      <c r="GL232" s="13"/>
      <c r="GM232" s="13"/>
      <c r="GN232" s="13"/>
      <c r="GO232" s="13"/>
      <c r="GP232" s="13"/>
      <c r="GQ232" s="13"/>
      <c r="GR232" s="13"/>
      <c r="GS232" s="13"/>
      <c r="GT232" s="13"/>
      <c r="GU232" s="13"/>
      <c r="GV232" s="13"/>
      <c r="GW232" s="13"/>
      <c r="GX232" s="13"/>
      <c r="GY232" s="13"/>
      <c r="GZ232" s="13"/>
      <c r="HA232" s="13"/>
    </row>
    <row r="233" spans="1:209" ht="39.950000000000003" customHeight="1">
      <c r="A233" s="63"/>
      <c r="B233" s="61"/>
      <c r="C233" s="37">
        <v>2025</v>
      </c>
      <c r="D233" s="14">
        <f>SUM(E233:I233)</f>
        <v>3251.7999999999997</v>
      </c>
      <c r="E233" s="14">
        <v>0</v>
      </c>
      <c r="F233" s="14">
        <v>3024.2</v>
      </c>
      <c r="G233" s="14">
        <v>227.6</v>
      </c>
      <c r="H233" s="14">
        <v>0</v>
      </c>
      <c r="I233" s="14">
        <v>0</v>
      </c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  <c r="FC233" s="13"/>
      <c r="FD233" s="13"/>
      <c r="FE233" s="13"/>
      <c r="FF233" s="13"/>
      <c r="FG233" s="13"/>
      <c r="FH233" s="13"/>
      <c r="FI233" s="13"/>
      <c r="FJ233" s="13"/>
      <c r="FK233" s="13"/>
      <c r="FL233" s="13"/>
      <c r="FM233" s="13"/>
      <c r="FN233" s="13"/>
      <c r="FO233" s="13"/>
      <c r="FP233" s="13"/>
      <c r="FQ233" s="13"/>
      <c r="FR233" s="13"/>
      <c r="FS233" s="13"/>
      <c r="FT233" s="13"/>
      <c r="FU233" s="13"/>
      <c r="FV233" s="13"/>
      <c r="FW233" s="13"/>
      <c r="FX233" s="13"/>
      <c r="FY233" s="13"/>
      <c r="FZ233" s="13"/>
      <c r="GA233" s="13"/>
      <c r="GB233" s="13"/>
      <c r="GC233" s="13"/>
      <c r="GD233" s="13"/>
      <c r="GE233" s="13"/>
      <c r="GF233" s="13"/>
      <c r="GG233" s="13"/>
      <c r="GH233" s="13"/>
      <c r="GI233" s="13"/>
      <c r="GJ233" s="13"/>
      <c r="GK233" s="13"/>
      <c r="GL233" s="13"/>
      <c r="GM233" s="13"/>
      <c r="GN233" s="13"/>
      <c r="GO233" s="13"/>
      <c r="GP233" s="13"/>
      <c r="GQ233" s="13"/>
      <c r="GR233" s="13"/>
      <c r="GS233" s="13"/>
      <c r="GT233" s="13"/>
      <c r="GU233" s="13"/>
      <c r="GV233" s="13"/>
      <c r="GW233" s="13"/>
      <c r="GX233" s="13"/>
      <c r="GY233" s="13"/>
      <c r="GZ233" s="13"/>
      <c r="HA233" s="13"/>
    </row>
    <row r="234" spans="1:209" ht="39.950000000000003" customHeight="1">
      <c r="A234" s="63"/>
      <c r="B234" s="61"/>
      <c r="C234" s="37">
        <v>2026</v>
      </c>
      <c r="D234" s="14">
        <f>SUM(E234:I234)</f>
        <v>3356.4</v>
      </c>
      <c r="E234" s="14">
        <v>0</v>
      </c>
      <c r="F234" s="14">
        <v>3054.3</v>
      </c>
      <c r="G234" s="14">
        <v>0</v>
      </c>
      <c r="H234" s="14">
        <v>302.10000000000002</v>
      </c>
      <c r="I234" s="14">
        <v>0</v>
      </c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  <c r="FC234" s="13"/>
      <c r="FD234" s="13"/>
      <c r="FE234" s="13"/>
      <c r="FF234" s="13"/>
      <c r="FG234" s="13"/>
      <c r="FH234" s="13"/>
      <c r="FI234" s="13"/>
      <c r="FJ234" s="13"/>
      <c r="FK234" s="13"/>
      <c r="FL234" s="13"/>
      <c r="FM234" s="13"/>
      <c r="FN234" s="13"/>
      <c r="FO234" s="13"/>
      <c r="FP234" s="13"/>
      <c r="FQ234" s="13"/>
      <c r="FR234" s="13"/>
      <c r="FS234" s="13"/>
      <c r="FT234" s="13"/>
      <c r="FU234" s="13"/>
      <c r="FV234" s="13"/>
      <c r="FW234" s="13"/>
      <c r="FX234" s="13"/>
      <c r="FY234" s="13"/>
      <c r="FZ234" s="13"/>
      <c r="GA234" s="13"/>
      <c r="GB234" s="13"/>
      <c r="GC234" s="13"/>
      <c r="GD234" s="13"/>
      <c r="GE234" s="13"/>
      <c r="GF234" s="13"/>
      <c r="GG234" s="13"/>
      <c r="GH234" s="13"/>
      <c r="GI234" s="13"/>
      <c r="GJ234" s="13"/>
      <c r="GK234" s="13"/>
      <c r="GL234" s="13"/>
      <c r="GM234" s="13"/>
      <c r="GN234" s="13"/>
      <c r="GO234" s="13"/>
      <c r="GP234" s="13"/>
      <c r="GQ234" s="13"/>
      <c r="GR234" s="13"/>
      <c r="GS234" s="13"/>
      <c r="GT234" s="13"/>
      <c r="GU234" s="13"/>
      <c r="GV234" s="13"/>
      <c r="GW234" s="13"/>
      <c r="GX234" s="13"/>
      <c r="GY234" s="13"/>
      <c r="GZ234" s="13"/>
      <c r="HA234" s="13"/>
    </row>
    <row r="235" spans="1:209" ht="58.5" customHeight="1">
      <c r="A235" s="64"/>
      <c r="B235" s="61"/>
      <c r="C235" s="37" t="s">
        <v>16</v>
      </c>
      <c r="D235" s="21">
        <f>SUM(D230:D234)</f>
        <v>17519.5</v>
      </c>
      <c r="E235" s="21">
        <f t="shared" ref="E235:I235" si="94">SUM(E230:E234)</f>
        <v>0</v>
      </c>
      <c r="F235" s="21">
        <f t="shared" si="94"/>
        <v>15455</v>
      </c>
      <c r="G235" s="21">
        <f t="shared" si="94"/>
        <v>227.6</v>
      </c>
      <c r="H235" s="21">
        <f t="shared" si="94"/>
        <v>1836.9</v>
      </c>
      <c r="I235" s="21">
        <f t="shared" si="94"/>
        <v>0</v>
      </c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  <c r="FF235" s="13"/>
      <c r="FG235" s="13"/>
      <c r="FH235" s="13"/>
      <c r="FI235" s="13"/>
      <c r="FJ235" s="13"/>
      <c r="FK235" s="13"/>
      <c r="FL235" s="13"/>
      <c r="FM235" s="13"/>
      <c r="FN235" s="13"/>
      <c r="FO235" s="13"/>
      <c r="FP235" s="13"/>
      <c r="FQ235" s="13"/>
      <c r="FR235" s="13"/>
      <c r="FS235" s="13"/>
      <c r="FT235" s="13"/>
      <c r="FU235" s="13"/>
      <c r="FV235" s="13"/>
      <c r="FW235" s="13"/>
      <c r="FX235" s="13"/>
      <c r="FY235" s="13"/>
      <c r="FZ235" s="13"/>
      <c r="GA235" s="13"/>
      <c r="GB235" s="13"/>
      <c r="GC235" s="13"/>
      <c r="GD235" s="13"/>
      <c r="GE235" s="13"/>
      <c r="GF235" s="13"/>
      <c r="GG235" s="13"/>
      <c r="GH235" s="13"/>
      <c r="GI235" s="13"/>
      <c r="GJ235" s="13"/>
      <c r="GK235" s="13"/>
      <c r="GL235" s="13"/>
      <c r="GM235" s="13"/>
      <c r="GN235" s="13"/>
      <c r="GO235" s="13"/>
      <c r="GP235" s="13"/>
      <c r="GQ235" s="13"/>
      <c r="GR235" s="13"/>
      <c r="GS235" s="13"/>
      <c r="GT235" s="13"/>
      <c r="GU235" s="13"/>
      <c r="GV235" s="13"/>
      <c r="GW235" s="13"/>
      <c r="GX235" s="13"/>
      <c r="GY235" s="13"/>
      <c r="GZ235" s="13"/>
      <c r="HA235" s="13"/>
    </row>
    <row r="236" spans="1:209" s="6" customFormat="1" ht="34.5" customHeight="1">
      <c r="A236" s="45" t="s">
        <v>82</v>
      </c>
      <c r="B236" s="61"/>
      <c r="C236" s="37">
        <v>2025</v>
      </c>
      <c r="D236" s="14">
        <f t="shared" ref="D236" si="95">SUM(E236:I236)</f>
        <v>141.19999999999999</v>
      </c>
      <c r="E236" s="14">
        <v>0</v>
      </c>
      <c r="F236" s="14">
        <v>0</v>
      </c>
      <c r="G236" s="14">
        <v>0</v>
      </c>
      <c r="H236" s="14">
        <v>141.19999999999999</v>
      </c>
      <c r="I236" s="14">
        <v>0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</row>
    <row r="237" spans="1:209" s="6" customFormat="1" ht="39.75" customHeight="1">
      <c r="A237" s="46"/>
      <c r="B237" s="61"/>
      <c r="C237" s="37">
        <v>2026</v>
      </c>
      <c r="D237" s="14">
        <f>SUM(E237:I237)</f>
        <v>0</v>
      </c>
      <c r="E237" s="14">
        <v>0</v>
      </c>
      <c r="F237" s="14">
        <f>3054.3-3054.3</f>
        <v>0</v>
      </c>
      <c r="G237" s="14">
        <v>0</v>
      </c>
      <c r="H237" s="14">
        <f>302.1-302.1</f>
        <v>0</v>
      </c>
      <c r="I237" s="14">
        <v>0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</row>
    <row r="238" spans="1:209" ht="62.25" customHeight="1">
      <c r="A238" s="47"/>
      <c r="B238" s="61"/>
      <c r="C238" s="37" t="s">
        <v>16</v>
      </c>
      <c r="D238" s="14">
        <f t="shared" ref="D238:H238" si="96">SUM(D236:D237)</f>
        <v>141.19999999999999</v>
      </c>
      <c r="E238" s="14">
        <f t="shared" si="96"/>
        <v>0</v>
      </c>
      <c r="F238" s="14">
        <f t="shared" si="96"/>
        <v>0</v>
      </c>
      <c r="G238" s="14">
        <f t="shared" si="96"/>
        <v>0</v>
      </c>
      <c r="H238" s="14">
        <f t="shared" si="96"/>
        <v>141.19999999999999</v>
      </c>
      <c r="I238" s="14">
        <f>SUM(I236:I237)</f>
        <v>0</v>
      </c>
    </row>
    <row r="239" spans="1:209" ht="18.75" customHeight="1">
      <c r="A239" s="45" t="s">
        <v>38</v>
      </c>
      <c r="B239" s="61"/>
      <c r="C239" s="37">
        <v>2022</v>
      </c>
      <c r="D239" s="14">
        <f t="shared" ref="D239:D240" si="97">SUM(E239:I239)</f>
        <v>0</v>
      </c>
      <c r="E239" s="14">
        <v>0</v>
      </c>
      <c r="F239" s="14">
        <v>0</v>
      </c>
      <c r="G239" s="14">
        <v>0</v>
      </c>
      <c r="H239" s="14">
        <v>0</v>
      </c>
      <c r="I239" s="14">
        <v>0</v>
      </c>
    </row>
    <row r="240" spans="1:209">
      <c r="A240" s="46"/>
      <c r="B240" s="61"/>
      <c r="C240" s="37">
        <v>2023</v>
      </c>
      <c r="D240" s="14">
        <f t="shared" si="97"/>
        <v>3431</v>
      </c>
      <c r="E240" s="14">
        <v>0</v>
      </c>
      <c r="F240" s="14">
        <v>0</v>
      </c>
      <c r="G240" s="14">
        <v>0</v>
      </c>
      <c r="H240" s="14">
        <v>3431</v>
      </c>
      <c r="I240" s="14">
        <v>0</v>
      </c>
    </row>
    <row r="241" spans="1:209" s="6" customFormat="1">
      <c r="A241" s="47"/>
      <c r="B241" s="61"/>
      <c r="C241" s="37" t="s">
        <v>16</v>
      </c>
      <c r="D241" s="14">
        <f t="shared" ref="D241:I241" si="98">SUM(D239:D240)</f>
        <v>3431</v>
      </c>
      <c r="E241" s="14">
        <f t="shared" si="98"/>
        <v>0</v>
      </c>
      <c r="F241" s="14">
        <f t="shared" si="98"/>
        <v>0</v>
      </c>
      <c r="G241" s="14">
        <f t="shared" si="98"/>
        <v>0</v>
      </c>
      <c r="H241" s="14">
        <f t="shared" si="98"/>
        <v>3431</v>
      </c>
      <c r="I241" s="14">
        <f t="shared" si="98"/>
        <v>0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</row>
    <row r="242" spans="1:209" s="6" customFormat="1">
      <c r="A242" s="45" t="s">
        <v>65</v>
      </c>
      <c r="B242" s="61"/>
      <c r="C242" s="37">
        <v>2022</v>
      </c>
      <c r="D242" s="14">
        <f>SUM(E242:I242)</f>
        <v>0</v>
      </c>
      <c r="E242" s="14">
        <v>0</v>
      </c>
      <c r="F242" s="14">
        <v>0</v>
      </c>
      <c r="G242" s="14">
        <v>0</v>
      </c>
      <c r="H242" s="14">
        <v>0</v>
      </c>
      <c r="I242" s="14">
        <v>0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</row>
    <row r="243" spans="1:209" s="6" customFormat="1">
      <c r="A243" s="46"/>
      <c r="B243" s="61"/>
      <c r="C243" s="37">
        <v>2023</v>
      </c>
      <c r="D243" s="14">
        <f>SUM(E243:I243)</f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</row>
    <row r="244" spans="1:209" s="6" customFormat="1">
      <c r="A244" s="47"/>
      <c r="B244" s="61"/>
      <c r="C244" s="37" t="s">
        <v>16</v>
      </c>
      <c r="D244" s="14">
        <f>SUM(D242:D243)</f>
        <v>0</v>
      </c>
      <c r="E244" s="14">
        <f t="shared" ref="E244:I244" si="99">SUM(E242:E243)</f>
        <v>0</v>
      </c>
      <c r="F244" s="14">
        <f t="shared" si="99"/>
        <v>0</v>
      </c>
      <c r="G244" s="14">
        <f t="shared" si="99"/>
        <v>0</v>
      </c>
      <c r="H244" s="14">
        <f t="shared" si="99"/>
        <v>0</v>
      </c>
      <c r="I244" s="14">
        <f t="shared" si="99"/>
        <v>0</v>
      </c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</row>
    <row r="245" spans="1:209" s="6" customFormat="1" ht="18.75" customHeight="1">
      <c r="A245" s="45" t="s">
        <v>39</v>
      </c>
      <c r="B245" s="61"/>
      <c r="C245" s="37">
        <v>2022</v>
      </c>
      <c r="D245" s="14">
        <f t="shared" ref="D245:D246" si="100">SUM(E245:I245)</f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</row>
    <row r="246" spans="1:209" s="6" customFormat="1">
      <c r="A246" s="46"/>
      <c r="B246" s="61"/>
      <c r="C246" s="37">
        <v>2023</v>
      </c>
      <c r="D246" s="14">
        <f t="shared" si="100"/>
        <v>1000</v>
      </c>
      <c r="E246" s="14">
        <v>0</v>
      </c>
      <c r="F246" s="14">
        <v>950</v>
      </c>
      <c r="G246" s="14">
        <v>0</v>
      </c>
      <c r="H246" s="14">
        <v>50</v>
      </c>
      <c r="I246" s="14">
        <v>0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</row>
    <row r="247" spans="1:209" s="6" customFormat="1">
      <c r="A247" s="47"/>
      <c r="B247" s="61"/>
      <c r="C247" s="37" t="s">
        <v>16</v>
      </c>
      <c r="D247" s="14">
        <f t="shared" ref="D247:I247" si="101">SUM(D245:D246)</f>
        <v>1000</v>
      </c>
      <c r="E247" s="14">
        <f t="shared" si="101"/>
        <v>0</v>
      </c>
      <c r="F247" s="14">
        <f t="shared" si="101"/>
        <v>950</v>
      </c>
      <c r="G247" s="14">
        <f t="shared" si="101"/>
        <v>0</v>
      </c>
      <c r="H247" s="14">
        <f t="shared" si="101"/>
        <v>50</v>
      </c>
      <c r="I247" s="14">
        <f t="shared" si="101"/>
        <v>0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</row>
    <row r="248" spans="1:209" s="6" customFormat="1" ht="18.75" customHeight="1">
      <c r="A248" s="45" t="s">
        <v>40</v>
      </c>
      <c r="B248" s="61"/>
      <c r="C248" s="37">
        <v>2022</v>
      </c>
      <c r="D248" s="14">
        <f t="shared" ref="D248:D249" si="102">SUM(E248:I248)</f>
        <v>0</v>
      </c>
      <c r="E248" s="14">
        <v>0</v>
      </c>
      <c r="F248" s="14">
        <v>0</v>
      </c>
      <c r="G248" s="14">
        <v>0</v>
      </c>
      <c r="H248" s="14">
        <v>0</v>
      </c>
      <c r="I248" s="14">
        <v>0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</row>
    <row r="249" spans="1:209" s="6" customFormat="1">
      <c r="A249" s="46"/>
      <c r="B249" s="61"/>
      <c r="C249" s="37">
        <v>2023</v>
      </c>
      <c r="D249" s="14">
        <f t="shared" si="102"/>
        <v>560</v>
      </c>
      <c r="E249" s="14">
        <v>0</v>
      </c>
      <c r="F249" s="14">
        <v>0</v>
      </c>
      <c r="G249" s="14">
        <v>509.6</v>
      </c>
      <c r="H249" s="14">
        <v>50.4</v>
      </c>
      <c r="I249" s="14">
        <v>0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</row>
    <row r="250" spans="1:209" s="6" customFormat="1" ht="30.75" customHeight="1">
      <c r="A250" s="47"/>
      <c r="B250" s="61"/>
      <c r="C250" s="37" t="s">
        <v>16</v>
      </c>
      <c r="D250" s="14">
        <f t="shared" ref="D250:I250" si="103">SUM(D248:D249)</f>
        <v>560</v>
      </c>
      <c r="E250" s="14">
        <f t="shared" si="103"/>
        <v>0</v>
      </c>
      <c r="F250" s="14">
        <f t="shared" si="103"/>
        <v>0</v>
      </c>
      <c r="G250" s="14">
        <f t="shared" si="103"/>
        <v>509.6</v>
      </c>
      <c r="H250" s="14">
        <f t="shared" si="103"/>
        <v>50.4</v>
      </c>
      <c r="I250" s="14">
        <f t="shared" si="103"/>
        <v>0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</row>
    <row r="251" spans="1:209" s="6" customFormat="1">
      <c r="A251" s="45" t="s">
        <v>41</v>
      </c>
      <c r="B251" s="61"/>
      <c r="C251" s="37">
        <v>2022</v>
      </c>
      <c r="D251" s="14">
        <f t="shared" ref="D251:D254" si="104">SUM(E251:I251)</f>
        <v>0</v>
      </c>
      <c r="E251" s="14">
        <v>0</v>
      </c>
      <c r="F251" s="14">
        <v>0</v>
      </c>
      <c r="G251" s="14">
        <v>0</v>
      </c>
      <c r="H251" s="14">
        <v>0</v>
      </c>
      <c r="I251" s="14">
        <v>0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</row>
    <row r="252" spans="1:209" s="6" customFormat="1">
      <c r="A252" s="46"/>
      <c r="B252" s="61"/>
      <c r="C252" s="37">
        <v>2023</v>
      </c>
      <c r="D252" s="14">
        <f t="shared" si="104"/>
        <v>5870.7</v>
      </c>
      <c r="E252" s="14">
        <v>0</v>
      </c>
      <c r="F252" s="14">
        <v>0</v>
      </c>
      <c r="G252" s="14">
        <v>5342.3</v>
      </c>
      <c r="H252" s="14">
        <v>528.4</v>
      </c>
      <c r="I252" s="14">
        <v>0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</row>
    <row r="253" spans="1:209" s="6" customFormat="1">
      <c r="A253" s="46"/>
      <c r="B253" s="61"/>
      <c r="C253" s="37">
        <v>2024</v>
      </c>
      <c r="D253" s="14">
        <f t="shared" si="104"/>
        <v>73222.7</v>
      </c>
      <c r="E253" s="14">
        <v>0</v>
      </c>
      <c r="F253" s="14">
        <v>0</v>
      </c>
      <c r="G253" s="14">
        <v>67364.899999999994</v>
      </c>
      <c r="H253" s="14">
        <v>5857.8</v>
      </c>
      <c r="I253" s="14">
        <v>0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</row>
    <row r="254" spans="1:209" s="6" customFormat="1">
      <c r="A254" s="46"/>
      <c r="B254" s="61"/>
      <c r="C254" s="37">
        <v>2025</v>
      </c>
      <c r="D254" s="14">
        <f t="shared" si="104"/>
        <v>24642.000000000004</v>
      </c>
      <c r="E254" s="14">
        <v>0</v>
      </c>
      <c r="F254" s="14">
        <v>0</v>
      </c>
      <c r="G254" s="14">
        <f>41127.3-19912.3</f>
        <v>21215.000000000004</v>
      </c>
      <c r="H254" s="14">
        <f>3576.5-149.5</f>
        <v>3427</v>
      </c>
      <c r="I254" s="14">
        <v>0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</row>
    <row r="255" spans="1:209" s="6" customFormat="1">
      <c r="A255" s="46"/>
      <c r="B255" s="61"/>
      <c r="C255" s="37">
        <v>2026</v>
      </c>
      <c r="D255" s="14">
        <f>SUM(E255:I255)</f>
        <v>21328</v>
      </c>
      <c r="E255" s="14">
        <v>0</v>
      </c>
      <c r="F255" s="14">
        <v>0</v>
      </c>
      <c r="G255" s="14">
        <v>19621.7</v>
      </c>
      <c r="H255" s="14">
        <v>1706.3</v>
      </c>
      <c r="I255" s="14">
        <v>0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</row>
    <row r="256" spans="1:209" s="6" customFormat="1">
      <c r="A256" s="47"/>
      <c r="B256" s="61"/>
      <c r="C256" s="37" t="s">
        <v>16</v>
      </c>
      <c r="D256" s="14">
        <f>SUM(D251:D255)</f>
        <v>125063.4</v>
      </c>
      <c r="E256" s="14">
        <f t="shared" ref="E256:H256" si="105">SUM(E251:E255)</f>
        <v>0</v>
      </c>
      <c r="F256" s="14">
        <f t="shared" si="105"/>
        <v>0</v>
      </c>
      <c r="G256" s="14">
        <f t="shared" si="105"/>
        <v>113543.9</v>
      </c>
      <c r="H256" s="14">
        <f t="shared" si="105"/>
        <v>11519.5</v>
      </c>
      <c r="I256" s="14">
        <f>SUM(I251:I255)</f>
        <v>0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</row>
    <row r="257" spans="1:209" s="6" customFormat="1" ht="18.75" customHeight="1">
      <c r="A257" s="45" t="s">
        <v>42</v>
      </c>
      <c r="B257" s="61"/>
      <c r="C257" s="37">
        <v>2022</v>
      </c>
      <c r="D257" s="14">
        <f t="shared" ref="D257:D260" si="106">SUM(E257:I257)</f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v>0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</row>
    <row r="258" spans="1:209" s="6" customFormat="1">
      <c r="A258" s="46"/>
      <c r="B258" s="61"/>
      <c r="C258" s="37">
        <v>2023</v>
      </c>
      <c r="D258" s="14">
        <f t="shared" si="106"/>
        <v>6289</v>
      </c>
      <c r="E258" s="14">
        <v>0</v>
      </c>
      <c r="F258" s="14">
        <v>0</v>
      </c>
      <c r="G258" s="14">
        <v>6289</v>
      </c>
      <c r="H258" s="14">
        <v>0</v>
      </c>
      <c r="I258" s="14">
        <v>0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</row>
    <row r="259" spans="1:209" s="6" customFormat="1">
      <c r="A259" s="46"/>
      <c r="B259" s="61"/>
      <c r="C259" s="37">
        <v>2024</v>
      </c>
      <c r="D259" s="14">
        <f t="shared" si="106"/>
        <v>8888.7999999999993</v>
      </c>
      <c r="E259" s="14">
        <v>0</v>
      </c>
      <c r="F259" s="14">
        <v>0</v>
      </c>
      <c r="G259" s="14">
        <v>8888.7999999999993</v>
      </c>
      <c r="H259" s="14">
        <v>0</v>
      </c>
      <c r="I259" s="14">
        <v>0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</row>
    <row r="260" spans="1:209" s="6" customFormat="1" ht="18" customHeight="1">
      <c r="A260" s="46"/>
      <c r="B260" s="61"/>
      <c r="C260" s="37">
        <v>2025</v>
      </c>
      <c r="D260" s="14">
        <f t="shared" si="106"/>
        <v>5994.2999999999993</v>
      </c>
      <c r="E260" s="14">
        <v>0</v>
      </c>
      <c r="F260" s="14">
        <v>0</v>
      </c>
      <c r="G260" s="14">
        <f>5994.4-0.1</f>
        <v>5994.2999999999993</v>
      </c>
      <c r="H260" s="14">
        <v>0</v>
      </c>
      <c r="I260" s="14">
        <v>0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</row>
    <row r="261" spans="1:209" s="6" customFormat="1">
      <c r="A261" s="47"/>
      <c r="B261" s="61"/>
      <c r="C261" s="37" t="s">
        <v>16</v>
      </c>
      <c r="D261" s="14">
        <f t="shared" ref="D261:I261" si="107">SUM(D257:D260)</f>
        <v>21172.1</v>
      </c>
      <c r="E261" s="14">
        <f t="shared" si="107"/>
        <v>0</v>
      </c>
      <c r="F261" s="14">
        <f t="shared" si="107"/>
        <v>0</v>
      </c>
      <c r="G261" s="14">
        <f t="shared" si="107"/>
        <v>21172.1</v>
      </c>
      <c r="H261" s="14">
        <f t="shared" si="107"/>
        <v>0</v>
      </c>
      <c r="I261" s="14">
        <f t="shared" si="107"/>
        <v>0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</row>
    <row r="262" spans="1:209" s="6" customFormat="1" ht="36" customHeight="1">
      <c r="A262" s="45" t="s">
        <v>83</v>
      </c>
      <c r="B262" s="61"/>
      <c r="C262" s="37">
        <v>2025</v>
      </c>
      <c r="D262" s="14">
        <f t="shared" ref="D262" si="108">SUM(E262:I262)</f>
        <v>0</v>
      </c>
      <c r="E262" s="14">
        <v>0</v>
      </c>
      <c r="F262" s="14">
        <v>0</v>
      </c>
      <c r="G262" s="14">
        <f>698.4-698.4</f>
        <v>0</v>
      </c>
      <c r="H262" s="14">
        <v>0</v>
      </c>
      <c r="I262" s="14">
        <v>0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</row>
    <row r="263" spans="1:209" s="6" customFormat="1" ht="36" customHeight="1">
      <c r="A263" s="46"/>
      <c r="B263" s="61"/>
      <c r="C263" s="37">
        <v>2026</v>
      </c>
      <c r="D263" s="14">
        <f>SUM(E263:I263)</f>
        <v>1.7340000000000001E-2</v>
      </c>
      <c r="E263" s="14">
        <v>0</v>
      </c>
      <c r="F263" s="14">
        <v>0</v>
      </c>
      <c r="G263" s="14">
        <f>0+0.01734</f>
        <v>1.7340000000000001E-2</v>
      </c>
      <c r="H263" s="14">
        <v>0</v>
      </c>
      <c r="I263" s="14">
        <v>0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</row>
    <row r="264" spans="1:209" ht="38.25" customHeight="1">
      <c r="A264" s="47"/>
      <c r="B264" s="61"/>
      <c r="C264" s="37" t="s">
        <v>16</v>
      </c>
      <c r="D264" s="14">
        <f t="shared" ref="D264:H264" si="109">SUM(D262:D263)</f>
        <v>1.7340000000000001E-2</v>
      </c>
      <c r="E264" s="14">
        <f t="shared" si="109"/>
        <v>0</v>
      </c>
      <c r="F264" s="14">
        <f t="shared" si="109"/>
        <v>0</v>
      </c>
      <c r="G264" s="14">
        <f t="shared" si="109"/>
        <v>1.7340000000000001E-2</v>
      </c>
      <c r="H264" s="14">
        <f t="shared" si="109"/>
        <v>0</v>
      </c>
      <c r="I264" s="14">
        <f>SUM(I262:I263)</f>
        <v>0</v>
      </c>
    </row>
    <row r="265" spans="1:209" s="6" customFormat="1" ht="49.5" customHeight="1">
      <c r="A265" s="45" t="s">
        <v>87</v>
      </c>
      <c r="B265" s="61"/>
      <c r="C265" s="37">
        <v>2025</v>
      </c>
      <c r="D265" s="14">
        <f t="shared" ref="D265" si="110">SUM(E265:I265)</f>
        <v>2224.4</v>
      </c>
      <c r="E265" s="14">
        <v>0</v>
      </c>
      <c r="F265" s="14">
        <v>0</v>
      </c>
      <c r="G265" s="14">
        <f>698.4-698.4</f>
        <v>0</v>
      </c>
      <c r="H265" s="14">
        <v>2224.4</v>
      </c>
      <c r="I265" s="14">
        <v>0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</row>
    <row r="266" spans="1:209" ht="50.25" customHeight="1">
      <c r="A266" s="47"/>
      <c r="B266" s="61"/>
      <c r="C266" s="37" t="s">
        <v>16</v>
      </c>
      <c r="D266" s="14">
        <f t="shared" ref="D266:I266" si="111">SUM(D265:D265)</f>
        <v>2224.4</v>
      </c>
      <c r="E266" s="14">
        <f t="shared" si="111"/>
        <v>0</v>
      </c>
      <c r="F266" s="14">
        <f t="shared" si="111"/>
        <v>0</v>
      </c>
      <c r="G266" s="14">
        <f t="shared" si="111"/>
        <v>0</v>
      </c>
      <c r="H266" s="14">
        <f t="shared" si="111"/>
        <v>2224.4</v>
      </c>
      <c r="I266" s="14">
        <f t="shared" si="111"/>
        <v>0</v>
      </c>
    </row>
    <row r="267" spans="1:209" s="6" customFormat="1" ht="23.25" customHeight="1">
      <c r="A267" s="45" t="s">
        <v>100</v>
      </c>
      <c r="B267" s="61"/>
      <c r="C267" s="37">
        <v>2026</v>
      </c>
      <c r="D267" s="14">
        <f t="shared" ref="D267" si="112">SUM(E267:I267)</f>
        <v>130</v>
      </c>
      <c r="E267" s="14">
        <v>0</v>
      </c>
      <c r="F267" s="14">
        <v>0</v>
      </c>
      <c r="G267" s="14">
        <f>698.4-698.4</f>
        <v>0</v>
      </c>
      <c r="H267" s="14">
        <f>0+130</f>
        <v>130</v>
      </c>
      <c r="I267" s="14">
        <v>0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</row>
    <row r="268" spans="1:209" ht="26.25" customHeight="1">
      <c r="A268" s="47"/>
      <c r="B268" s="61"/>
      <c r="C268" s="37" t="s">
        <v>16</v>
      </c>
      <c r="D268" s="14">
        <f t="shared" ref="D268:I268" si="113">SUM(D267:D267)</f>
        <v>130</v>
      </c>
      <c r="E268" s="14">
        <f t="shared" si="113"/>
        <v>0</v>
      </c>
      <c r="F268" s="14">
        <f t="shared" si="113"/>
        <v>0</v>
      </c>
      <c r="G268" s="14">
        <f t="shared" si="113"/>
        <v>0</v>
      </c>
      <c r="H268" s="14">
        <f t="shared" si="113"/>
        <v>130</v>
      </c>
      <c r="I268" s="14">
        <f t="shared" si="113"/>
        <v>0</v>
      </c>
    </row>
    <row r="269" spans="1:209" s="6" customFormat="1">
      <c r="A269" s="66" t="s">
        <v>71</v>
      </c>
      <c r="B269" s="67"/>
      <c r="C269" s="67"/>
      <c r="D269" s="67"/>
      <c r="E269" s="67"/>
      <c r="F269" s="67"/>
      <c r="G269" s="67"/>
      <c r="H269" s="67"/>
      <c r="I269" s="68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</row>
    <row r="270" spans="1:209" s="6" customFormat="1">
      <c r="A270" s="51" t="s">
        <v>16</v>
      </c>
      <c r="B270" s="42"/>
      <c r="C270" s="36">
        <v>2022</v>
      </c>
      <c r="D270" s="15">
        <f t="shared" ref="D270:I271" si="114">D278+D286</f>
        <v>9887.1</v>
      </c>
      <c r="E270" s="15">
        <f t="shared" si="114"/>
        <v>0</v>
      </c>
      <c r="F270" s="15">
        <f t="shared" si="114"/>
        <v>0</v>
      </c>
      <c r="G270" s="15">
        <f t="shared" si="114"/>
        <v>0</v>
      </c>
      <c r="H270" s="15">
        <f t="shared" si="114"/>
        <v>9887.1</v>
      </c>
      <c r="I270" s="15">
        <f t="shared" si="114"/>
        <v>0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</row>
    <row r="271" spans="1:209" s="6" customFormat="1">
      <c r="A271" s="52"/>
      <c r="B271" s="69"/>
      <c r="C271" s="36">
        <v>2023</v>
      </c>
      <c r="D271" s="15">
        <f t="shared" si="114"/>
        <v>9388.4</v>
      </c>
      <c r="E271" s="15">
        <f t="shared" si="114"/>
        <v>0</v>
      </c>
      <c r="F271" s="15">
        <f t="shared" si="114"/>
        <v>0</v>
      </c>
      <c r="G271" s="15">
        <f t="shared" si="114"/>
        <v>628.5</v>
      </c>
      <c r="H271" s="15">
        <f t="shared" si="114"/>
        <v>8759.9</v>
      </c>
      <c r="I271" s="15">
        <f t="shared" si="114"/>
        <v>0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</row>
    <row r="272" spans="1:209" s="6" customFormat="1">
      <c r="A272" s="52"/>
      <c r="B272" s="69"/>
      <c r="C272" s="36">
        <v>2024</v>
      </c>
      <c r="D272" s="15">
        <f>SUM(E272:I272)</f>
        <v>6247.3</v>
      </c>
      <c r="E272" s="15">
        <f t="shared" ref="E272:I272" si="115">E280</f>
        <v>0</v>
      </c>
      <c r="F272" s="15">
        <f t="shared" si="115"/>
        <v>0</v>
      </c>
      <c r="G272" s="15">
        <f t="shared" si="115"/>
        <v>0</v>
      </c>
      <c r="H272" s="15">
        <f t="shared" si="115"/>
        <v>6247.3</v>
      </c>
      <c r="I272" s="15">
        <f t="shared" si="115"/>
        <v>0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</row>
    <row r="273" spans="1:209" s="6" customFormat="1">
      <c r="A273" s="52"/>
      <c r="B273" s="69"/>
      <c r="C273" s="36">
        <v>2025</v>
      </c>
      <c r="D273" s="15">
        <f>SUM(E273:I273)</f>
        <v>9621.1999999999989</v>
      </c>
      <c r="E273" s="15">
        <f t="shared" ref="E273:I275" si="116">E281+E289</f>
        <v>0</v>
      </c>
      <c r="F273" s="15">
        <f t="shared" si="116"/>
        <v>0</v>
      </c>
      <c r="G273" s="15">
        <f t="shared" si="116"/>
        <v>0</v>
      </c>
      <c r="H273" s="15">
        <f t="shared" si="116"/>
        <v>9621.1999999999989</v>
      </c>
      <c r="I273" s="15">
        <f t="shared" si="116"/>
        <v>0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</row>
    <row r="274" spans="1:209" s="6" customFormat="1">
      <c r="A274" s="52"/>
      <c r="B274" s="69"/>
      <c r="C274" s="36">
        <v>2026</v>
      </c>
      <c r="D274" s="15">
        <f>SUM(E274:I274)</f>
        <v>13620.9</v>
      </c>
      <c r="E274" s="15">
        <f t="shared" si="116"/>
        <v>0</v>
      </c>
      <c r="F274" s="15">
        <f t="shared" si="116"/>
        <v>0</v>
      </c>
      <c r="G274" s="15">
        <f t="shared" si="116"/>
        <v>0</v>
      </c>
      <c r="H274" s="15">
        <f t="shared" si="116"/>
        <v>13620.9</v>
      </c>
      <c r="I274" s="15">
        <f t="shared" si="116"/>
        <v>0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</row>
    <row r="275" spans="1:209" s="6" customFormat="1">
      <c r="A275" s="52"/>
      <c r="B275" s="69"/>
      <c r="C275" s="36">
        <v>2027</v>
      </c>
      <c r="D275" s="15">
        <f>SUM(E275:I275)</f>
        <v>12394.2</v>
      </c>
      <c r="E275" s="15">
        <f t="shared" si="116"/>
        <v>0</v>
      </c>
      <c r="F275" s="15">
        <f t="shared" si="116"/>
        <v>0</v>
      </c>
      <c r="G275" s="15">
        <f t="shared" si="116"/>
        <v>0</v>
      </c>
      <c r="H275" s="15">
        <f t="shared" si="116"/>
        <v>12394.2</v>
      </c>
      <c r="I275" s="15">
        <f t="shared" si="116"/>
        <v>0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</row>
    <row r="276" spans="1:209" s="6" customFormat="1">
      <c r="A276" s="52"/>
      <c r="B276" s="69"/>
      <c r="C276" s="36">
        <v>2028</v>
      </c>
      <c r="D276" s="15">
        <f>SUM(E276:I276)</f>
        <v>24915.1</v>
      </c>
      <c r="E276" s="15">
        <f t="shared" ref="E276:H276" si="117">E284</f>
        <v>0</v>
      </c>
      <c r="F276" s="15">
        <f t="shared" si="117"/>
        <v>0</v>
      </c>
      <c r="G276" s="15">
        <f t="shared" si="117"/>
        <v>0</v>
      </c>
      <c r="H276" s="15">
        <f t="shared" si="117"/>
        <v>24915.1</v>
      </c>
      <c r="I276" s="15">
        <f>I284</f>
        <v>0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</row>
    <row r="277" spans="1:209" s="6" customFormat="1">
      <c r="A277" s="53"/>
      <c r="B277" s="43"/>
      <c r="C277" s="36" t="s">
        <v>16</v>
      </c>
      <c r="D277" s="15">
        <f>SUM(D270:D276)</f>
        <v>86074.200000000012</v>
      </c>
      <c r="E277" s="15">
        <f t="shared" ref="E277:H277" si="118">SUM(E270:E276)</f>
        <v>0</v>
      </c>
      <c r="F277" s="15">
        <f t="shared" si="118"/>
        <v>0</v>
      </c>
      <c r="G277" s="15">
        <f t="shared" si="118"/>
        <v>628.5</v>
      </c>
      <c r="H277" s="15">
        <f t="shared" si="118"/>
        <v>85445.700000000012</v>
      </c>
      <c r="I277" s="15">
        <f>SUM(I270:I276)</f>
        <v>0</v>
      </c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</row>
    <row r="278" spans="1:209" s="6" customFormat="1">
      <c r="A278" s="45" t="s">
        <v>43</v>
      </c>
      <c r="B278" s="61"/>
      <c r="C278" s="37">
        <v>2022</v>
      </c>
      <c r="D278" s="14">
        <f t="shared" ref="D278:D283" si="119">SUM(E278:I278)</f>
        <v>9887.1</v>
      </c>
      <c r="E278" s="14">
        <v>0</v>
      </c>
      <c r="F278" s="14">
        <v>0</v>
      </c>
      <c r="G278" s="14">
        <v>0</v>
      </c>
      <c r="H278" s="14">
        <v>9887.1</v>
      </c>
      <c r="I278" s="14">
        <v>0</v>
      </c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</row>
    <row r="279" spans="1:209" s="6" customFormat="1">
      <c r="A279" s="46"/>
      <c r="B279" s="61"/>
      <c r="C279" s="37">
        <v>2023</v>
      </c>
      <c r="D279" s="14">
        <f t="shared" si="119"/>
        <v>8685.5</v>
      </c>
      <c r="E279" s="14">
        <v>0</v>
      </c>
      <c r="F279" s="14">
        <v>0</v>
      </c>
      <c r="G279" s="14">
        <v>0</v>
      </c>
      <c r="H279" s="14">
        <v>8685.5</v>
      </c>
      <c r="I279" s="14">
        <v>0</v>
      </c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</row>
    <row r="280" spans="1:209" s="6" customFormat="1">
      <c r="A280" s="46"/>
      <c r="B280" s="61"/>
      <c r="C280" s="37">
        <v>2024</v>
      </c>
      <c r="D280" s="14">
        <f t="shared" si="119"/>
        <v>6247.3</v>
      </c>
      <c r="E280" s="14">
        <v>0</v>
      </c>
      <c r="F280" s="14">
        <v>0</v>
      </c>
      <c r="G280" s="14">
        <v>0</v>
      </c>
      <c r="H280" s="14">
        <v>6247.3</v>
      </c>
      <c r="I280" s="14">
        <v>0</v>
      </c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</row>
    <row r="281" spans="1:209" s="6" customFormat="1">
      <c r="A281" s="46"/>
      <c r="B281" s="61"/>
      <c r="C281" s="37">
        <v>2025</v>
      </c>
      <c r="D281" s="14">
        <f t="shared" si="119"/>
        <v>9578.7999999999993</v>
      </c>
      <c r="E281" s="14">
        <v>0</v>
      </c>
      <c r="F281" s="14">
        <v>0</v>
      </c>
      <c r="G281" s="14">
        <v>0</v>
      </c>
      <c r="H281" s="14">
        <f>8958.8+611+9</f>
        <v>9578.7999999999993</v>
      </c>
      <c r="I281" s="14">
        <v>0</v>
      </c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</row>
    <row r="282" spans="1:209" s="6" customFormat="1">
      <c r="A282" s="46"/>
      <c r="B282" s="61"/>
      <c r="C282" s="37">
        <v>2026</v>
      </c>
      <c r="D282" s="14">
        <f>SUM(E282:I282)</f>
        <v>13523.8</v>
      </c>
      <c r="E282" s="14">
        <v>0</v>
      </c>
      <c r="F282" s="14">
        <v>0</v>
      </c>
      <c r="G282" s="14">
        <v>0</v>
      </c>
      <c r="H282" s="14">
        <f>7223.8+6400-100</f>
        <v>13523.8</v>
      </c>
      <c r="I282" s="14">
        <v>0</v>
      </c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</row>
    <row r="283" spans="1:209" s="6" customFormat="1">
      <c r="A283" s="46"/>
      <c r="B283" s="61"/>
      <c r="C283" s="37">
        <v>2027</v>
      </c>
      <c r="D283" s="14">
        <f t="shared" si="119"/>
        <v>12297.1</v>
      </c>
      <c r="E283" s="14">
        <v>0</v>
      </c>
      <c r="F283" s="14">
        <v>0</v>
      </c>
      <c r="G283" s="14">
        <v>0</v>
      </c>
      <c r="H283" s="14">
        <v>12297.1</v>
      </c>
      <c r="I283" s="14">
        <v>0</v>
      </c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</row>
    <row r="284" spans="1:209" s="6" customFormat="1">
      <c r="A284" s="46"/>
      <c r="B284" s="61"/>
      <c r="C284" s="37">
        <v>2028</v>
      </c>
      <c r="D284" s="14">
        <f>SUM(E284:I284)</f>
        <v>24915.1</v>
      </c>
      <c r="E284" s="14">
        <v>0</v>
      </c>
      <c r="F284" s="14">
        <v>0</v>
      </c>
      <c r="G284" s="14">
        <v>0</v>
      </c>
      <c r="H284" s="14">
        <v>24915.1</v>
      </c>
      <c r="I284" s="14">
        <v>0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</row>
    <row r="285" spans="1:209" s="6" customFormat="1">
      <c r="A285" s="47"/>
      <c r="B285" s="61"/>
      <c r="C285" s="37" t="s">
        <v>16</v>
      </c>
      <c r="D285" s="14">
        <f>SUM(D278:D284)</f>
        <v>85134.7</v>
      </c>
      <c r="E285" s="14">
        <f t="shared" ref="E285:H285" si="120">SUM(E278:E284)</f>
        <v>0</v>
      </c>
      <c r="F285" s="14">
        <f t="shared" si="120"/>
        <v>0</v>
      </c>
      <c r="G285" s="14">
        <f t="shared" si="120"/>
        <v>0</v>
      </c>
      <c r="H285" s="14">
        <f t="shared" si="120"/>
        <v>85134.7</v>
      </c>
      <c r="I285" s="14">
        <f>SUM(I278:I284)</f>
        <v>0</v>
      </c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</row>
    <row r="286" spans="1:209" s="6" customFormat="1">
      <c r="A286" s="45" t="s">
        <v>44</v>
      </c>
      <c r="B286" s="61"/>
      <c r="C286" s="37">
        <v>2022</v>
      </c>
      <c r="D286" s="14">
        <f>SUM(E286:I286)</f>
        <v>0</v>
      </c>
      <c r="E286" s="14">
        <v>0</v>
      </c>
      <c r="F286" s="14">
        <v>0</v>
      </c>
      <c r="G286" s="14">
        <v>0</v>
      </c>
      <c r="H286" s="14">
        <v>0</v>
      </c>
      <c r="I286" s="14">
        <v>0</v>
      </c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</row>
    <row r="287" spans="1:209" s="6" customFormat="1">
      <c r="A287" s="46"/>
      <c r="B287" s="61"/>
      <c r="C287" s="37">
        <v>2023</v>
      </c>
      <c r="D287" s="14">
        <f>SUM(E287:I287)</f>
        <v>702.9</v>
      </c>
      <c r="E287" s="14">
        <v>0</v>
      </c>
      <c r="F287" s="14">
        <v>0</v>
      </c>
      <c r="G287" s="14">
        <v>628.5</v>
      </c>
      <c r="H287" s="14">
        <v>74.400000000000006</v>
      </c>
      <c r="I287" s="14">
        <v>0</v>
      </c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</row>
    <row r="288" spans="1:209" s="6" customFormat="1">
      <c r="A288" s="47"/>
      <c r="B288" s="61"/>
      <c r="C288" s="37" t="s">
        <v>16</v>
      </c>
      <c r="D288" s="14">
        <f t="shared" ref="D288:H288" si="121">SUM(D286:D287)</f>
        <v>702.9</v>
      </c>
      <c r="E288" s="14">
        <f t="shared" si="121"/>
        <v>0</v>
      </c>
      <c r="F288" s="14">
        <f t="shared" si="121"/>
        <v>0</v>
      </c>
      <c r="G288" s="14">
        <f t="shared" si="121"/>
        <v>628.5</v>
      </c>
      <c r="H288" s="14">
        <f t="shared" si="121"/>
        <v>74.400000000000006</v>
      </c>
      <c r="I288" s="14">
        <f>SUM(I286:I287)</f>
        <v>0</v>
      </c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</row>
    <row r="289" spans="1:209" s="6" customFormat="1">
      <c r="A289" s="45" t="s">
        <v>93</v>
      </c>
      <c r="B289" s="61"/>
      <c r="C289" s="37">
        <v>2025</v>
      </c>
      <c r="D289" s="14">
        <f>SUM(E289:I289)</f>
        <v>42.4</v>
      </c>
      <c r="E289" s="14">
        <v>0</v>
      </c>
      <c r="F289" s="14">
        <v>0</v>
      </c>
      <c r="G289" s="14">
        <v>0</v>
      </c>
      <c r="H289" s="14">
        <v>42.4</v>
      </c>
      <c r="I289" s="14">
        <v>0</v>
      </c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</row>
    <row r="290" spans="1:209" s="6" customFormat="1">
      <c r="A290" s="46"/>
      <c r="B290" s="61"/>
      <c r="C290" s="37">
        <v>2026</v>
      </c>
      <c r="D290" s="14">
        <f t="shared" ref="D290" si="122">SUM(E290:I290)</f>
        <v>97.1</v>
      </c>
      <c r="E290" s="14">
        <v>0</v>
      </c>
      <c r="F290" s="14">
        <v>0</v>
      </c>
      <c r="G290" s="14">
        <v>0</v>
      </c>
      <c r="H290" s="14">
        <v>97.1</v>
      </c>
      <c r="I290" s="14">
        <v>0</v>
      </c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</row>
    <row r="291" spans="1:209" s="6" customFormat="1">
      <c r="A291" s="46"/>
      <c r="B291" s="61"/>
      <c r="C291" s="37">
        <v>2027</v>
      </c>
      <c r="D291" s="14">
        <f>SUM(E291:I291)</f>
        <v>97.1</v>
      </c>
      <c r="E291" s="14">
        <v>0</v>
      </c>
      <c r="F291" s="14">
        <v>0</v>
      </c>
      <c r="G291" s="14">
        <v>0</v>
      </c>
      <c r="H291" s="14">
        <v>97.1</v>
      </c>
      <c r="I291" s="14">
        <v>0</v>
      </c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</row>
    <row r="292" spans="1:209" s="6" customFormat="1">
      <c r="A292" s="47"/>
      <c r="B292" s="61"/>
      <c r="C292" s="37" t="s">
        <v>16</v>
      </c>
      <c r="D292" s="14">
        <f t="shared" ref="D292:H292" si="123">SUM(D289:D291)</f>
        <v>236.6</v>
      </c>
      <c r="E292" s="14">
        <f t="shared" si="123"/>
        <v>0</v>
      </c>
      <c r="F292" s="14">
        <f t="shared" si="123"/>
        <v>0</v>
      </c>
      <c r="G292" s="14">
        <f t="shared" si="123"/>
        <v>0</v>
      </c>
      <c r="H292" s="14">
        <f t="shared" si="123"/>
        <v>236.6</v>
      </c>
      <c r="I292" s="14">
        <f>SUM(I289:I291)</f>
        <v>0</v>
      </c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</row>
    <row r="293" spans="1:209" s="6" customFormat="1">
      <c r="A293" s="38" t="s">
        <v>72</v>
      </c>
      <c r="B293" s="16"/>
      <c r="C293" s="17"/>
      <c r="D293" s="18"/>
      <c r="E293" s="19"/>
      <c r="F293" s="19"/>
      <c r="G293" s="19"/>
      <c r="H293" s="19"/>
      <c r="I293" s="20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</row>
    <row r="294" spans="1:209" s="6" customFormat="1">
      <c r="A294" s="54" t="s">
        <v>16</v>
      </c>
      <c r="B294" s="44"/>
      <c r="C294" s="36">
        <v>2022</v>
      </c>
      <c r="D294" s="22">
        <f t="shared" ref="D294:I300" si="124">D302</f>
        <v>175.5</v>
      </c>
      <c r="E294" s="22">
        <f t="shared" si="124"/>
        <v>0</v>
      </c>
      <c r="F294" s="22">
        <f t="shared" si="124"/>
        <v>0</v>
      </c>
      <c r="G294" s="22">
        <f t="shared" si="124"/>
        <v>0</v>
      </c>
      <c r="H294" s="22">
        <f t="shared" si="124"/>
        <v>175.5</v>
      </c>
      <c r="I294" s="22">
        <f t="shared" si="124"/>
        <v>0</v>
      </c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</row>
    <row r="295" spans="1:209" s="6" customFormat="1">
      <c r="A295" s="54"/>
      <c r="B295" s="44"/>
      <c r="C295" s="36">
        <v>2023</v>
      </c>
      <c r="D295" s="22">
        <f t="shared" si="124"/>
        <v>167</v>
      </c>
      <c r="E295" s="22">
        <f t="shared" si="124"/>
        <v>0</v>
      </c>
      <c r="F295" s="22">
        <f t="shared" si="124"/>
        <v>0</v>
      </c>
      <c r="G295" s="22">
        <f t="shared" si="124"/>
        <v>0</v>
      </c>
      <c r="H295" s="22">
        <f t="shared" si="124"/>
        <v>167</v>
      </c>
      <c r="I295" s="22">
        <f t="shared" si="124"/>
        <v>0</v>
      </c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</row>
    <row r="296" spans="1:209" s="6" customFormat="1">
      <c r="A296" s="54"/>
      <c r="B296" s="44"/>
      <c r="C296" s="36">
        <v>2024</v>
      </c>
      <c r="D296" s="22">
        <f t="shared" si="124"/>
        <v>227</v>
      </c>
      <c r="E296" s="22">
        <f t="shared" si="124"/>
        <v>0</v>
      </c>
      <c r="F296" s="22">
        <f t="shared" si="124"/>
        <v>0</v>
      </c>
      <c r="G296" s="22">
        <f t="shared" si="124"/>
        <v>0</v>
      </c>
      <c r="H296" s="22">
        <f t="shared" si="124"/>
        <v>227</v>
      </c>
      <c r="I296" s="22">
        <f t="shared" si="124"/>
        <v>0</v>
      </c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</row>
    <row r="297" spans="1:209" s="6" customFormat="1">
      <c r="A297" s="54"/>
      <c r="B297" s="44"/>
      <c r="C297" s="36">
        <v>2025</v>
      </c>
      <c r="D297" s="22">
        <f t="shared" si="124"/>
        <v>221.6</v>
      </c>
      <c r="E297" s="22">
        <f t="shared" si="124"/>
        <v>0</v>
      </c>
      <c r="F297" s="22">
        <f t="shared" si="124"/>
        <v>0</v>
      </c>
      <c r="G297" s="22">
        <f t="shared" si="124"/>
        <v>0</v>
      </c>
      <c r="H297" s="22">
        <f t="shared" si="124"/>
        <v>221.6</v>
      </c>
      <c r="I297" s="22">
        <f t="shared" si="124"/>
        <v>0</v>
      </c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</row>
    <row r="298" spans="1:209" s="6" customFormat="1">
      <c r="A298" s="54"/>
      <c r="B298" s="44"/>
      <c r="C298" s="36">
        <v>2026</v>
      </c>
      <c r="D298" s="22">
        <f t="shared" si="124"/>
        <v>261.2</v>
      </c>
      <c r="E298" s="22">
        <f t="shared" si="124"/>
        <v>0</v>
      </c>
      <c r="F298" s="22">
        <f t="shared" si="124"/>
        <v>0</v>
      </c>
      <c r="G298" s="22">
        <f t="shared" si="124"/>
        <v>0</v>
      </c>
      <c r="H298" s="22">
        <f t="shared" si="124"/>
        <v>261.2</v>
      </c>
      <c r="I298" s="22">
        <f t="shared" si="124"/>
        <v>0</v>
      </c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</row>
    <row r="299" spans="1:209" s="6" customFormat="1">
      <c r="A299" s="54"/>
      <c r="B299" s="44"/>
      <c r="C299" s="36">
        <v>2027</v>
      </c>
      <c r="D299" s="22">
        <f t="shared" si="124"/>
        <v>251.5</v>
      </c>
      <c r="E299" s="22">
        <f t="shared" si="124"/>
        <v>0</v>
      </c>
      <c r="F299" s="22">
        <f t="shared" si="124"/>
        <v>0</v>
      </c>
      <c r="G299" s="22">
        <f t="shared" si="124"/>
        <v>0</v>
      </c>
      <c r="H299" s="22">
        <f>H307</f>
        <v>251.5</v>
      </c>
      <c r="I299" s="22">
        <f>I307</f>
        <v>0</v>
      </c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</row>
    <row r="300" spans="1:209" s="6" customFormat="1">
      <c r="A300" s="54"/>
      <c r="B300" s="44"/>
      <c r="C300" s="36">
        <v>2028</v>
      </c>
      <c r="D300" s="22">
        <f>SUM(E300:I300)</f>
        <v>251.5</v>
      </c>
      <c r="E300" s="22">
        <f t="shared" si="124"/>
        <v>0</v>
      </c>
      <c r="F300" s="22">
        <f t="shared" si="124"/>
        <v>0</v>
      </c>
      <c r="G300" s="22">
        <f t="shared" si="124"/>
        <v>0</v>
      </c>
      <c r="H300" s="22">
        <f t="shared" si="124"/>
        <v>251.5</v>
      </c>
      <c r="I300" s="22">
        <f>I308</f>
        <v>0</v>
      </c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</row>
    <row r="301" spans="1:209" s="6" customFormat="1">
      <c r="A301" s="54"/>
      <c r="B301" s="44"/>
      <c r="C301" s="36" t="s">
        <v>16</v>
      </c>
      <c r="D301" s="22">
        <f>SUM(D294:D300)</f>
        <v>1555.3</v>
      </c>
      <c r="E301" s="22">
        <f>E309</f>
        <v>0</v>
      </c>
      <c r="F301" s="22">
        <f>F309</f>
        <v>0</v>
      </c>
      <c r="G301" s="22">
        <f>G309</f>
        <v>0</v>
      </c>
      <c r="H301" s="22">
        <f>H309</f>
        <v>1555.3</v>
      </c>
      <c r="I301" s="22">
        <f>I309</f>
        <v>0</v>
      </c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</row>
    <row r="302" spans="1:209" s="6" customFormat="1">
      <c r="A302" s="45" t="s">
        <v>45</v>
      </c>
      <c r="B302" s="61"/>
      <c r="C302" s="37">
        <v>2022</v>
      </c>
      <c r="D302" s="21">
        <f t="shared" ref="D302:D307" si="125">SUM(E302:I302)</f>
        <v>175.5</v>
      </c>
      <c r="E302" s="14">
        <v>0</v>
      </c>
      <c r="F302" s="14">
        <v>0</v>
      </c>
      <c r="G302" s="14">
        <v>0</v>
      </c>
      <c r="H302" s="14">
        <v>175.5</v>
      </c>
      <c r="I302" s="14">
        <v>0</v>
      </c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</row>
    <row r="303" spans="1:209" s="6" customFormat="1">
      <c r="A303" s="46"/>
      <c r="B303" s="61"/>
      <c r="C303" s="37">
        <v>2023</v>
      </c>
      <c r="D303" s="21">
        <f t="shared" si="125"/>
        <v>167</v>
      </c>
      <c r="E303" s="14">
        <v>0</v>
      </c>
      <c r="F303" s="14">
        <v>0</v>
      </c>
      <c r="G303" s="14">
        <v>0</v>
      </c>
      <c r="H303" s="14">
        <v>167</v>
      </c>
      <c r="I303" s="14">
        <v>0</v>
      </c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</row>
    <row r="304" spans="1:209" s="6" customFormat="1">
      <c r="A304" s="46"/>
      <c r="B304" s="61"/>
      <c r="C304" s="37">
        <v>2024</v>
      </c>
      <c r="D304" s="21">
        <f t="shared" si="125"/>
        <v>227</v>
      </c>
      <c r="E304" s="14">
        <v>0</v>
      </c>
      <c r="F304" s="14">
        <v>0</v>
      </c>
      <c r="G304" s="14">
        <v>0</v>
      </c>
      <c r="H304" s="14">
        <v>227</v>
      </c>
      <c r="I304" s="14">
        <v>0</v>
      </c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</row>
    <row r="305" spans="1:209" s="6" customFormat="1">
      <c r="A305" s="46"/>
      <c r="B305" s="61"/>
      <c r="C305" s="37">
        <v>2025</v>
      </c>
      <c r="D305" s="21">
        <f>SUM(E305:I305)</f>
        <v>221.6</v>
      </c>
      <c r="E305" s="14">
        <v>0</v>
      </c>
      <c r="F305" s="14">
        <v>0</v>
      </c>
      <c r="G305" s="14">
        <v>0</v>
      </c>
      <c r="H305" s="14">
        <v>221.6</v>
      </c>
      <c r="I305" s="14">
        <v>0</v>
      </c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/>
      <c r="GV305" s="5"/>
      <c r="GW305" s="5"/>
      <c r="GX305" s="5"/>
      <c r="GY305" s="5"/>
      <c r="GZ305" s="5"/>
      <c r="HA305" s="5"/>
    </row>
    <row r="306" spans="1:209" s="6" customFormat="1">
      <c r="A306" s="46"/>
      <c r="B306" s="61"/>
      <c r="C306" s="37">
        <v>2026</v>
      </c>
      <c r="D306" s="21">
        <f t="shared" si="125"/>
        <v>261.2</v>
      </c>
      <c r="E306" s="14">
        <v>0</v>
      </c>
      <c r="F306" s="14">
        <v>0</v>
      </c>
      <c r="G306" s="14">
        <v>0</v>
      </c>
      <c r="H306" s="14">
        <f>251.5+9.7</f>
        <v>261.2</v>
      </c>
      <c r="I306" s="14">
        <v>0</v>
      </c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</row>
    <row r="307" spans="1:209" s="6" customFormat="1">
      <c r="A307" s="46"/>
      <c r="B307" s="61"/>
      <c r="C307" s="37">
        <v>2027</v>
      </c>
      <c r="D307" s="21">
        <f t="shared" si="125"/>
        <v>251.5</v>
      </c>
      <c r="E307" s="14">
        <v>0</v>
      </c>
      <c r="F307" s="14">
        <v>0</v>
      </c>
      <c r="G307" s="14">
        <v>0</v>
      </c>
      <c r="H307" s="14">
        <v>251.5</v>
      </c>
      <c r="I307" s="14">
        <v>0</v>
      </c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</row>
    <row r="308" spans="1:209" s="6" customFormat="1">
      <c r="A308" s="46"/>
      <c r="B308" s="61"/>
      <c r="C308" s="37">
        <v>2028</v>
      </c>
      <c r="D308" s="14">
        <f>SUM(E308:I308)</f>
        <v>251.5</v>
      </c>
      <c r="E308" s="14">
        <v>0</v>
      </c>
      <c r="F308" s="14">
        <v>0</v>
      </c>
      <c r="G308" s="14">
        <v>0</v>
      </c>
      <c r="H308" s="14">
        <v>251.5</v>
      </c>
      <c r="I308" s="14">
        <v>0</v>
      </c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</row>
    <row r="309" spans="1:209" s="6" customFormat="1">
      <c r="A309" s="47"/>
      <c r="B309" s="61"/>
      <c r="C309" s="37" t="s">
        <v>16</v>
      </c>
      <c r="D309" s="21">
        <f t="shared" ref="D309:H309" si="126">SUM(D302:D308)</f>
        <v>1555.3</v>
      </c>
      <c r="E309" s="21">
        <f t="shared" si="126"/>
        <v>0</v>
      </c>
      <c r="F309" s="21">
        <f t="shared" si="126"/>
        <v>0</v>
      </c>
      <c r="G309" s="21">
        <f t="shared" si="126"/>
        <v>0</v>
      </c>
      <c r="H309" s="21">
        <f t="shared" si="126"/>
        <v>1555.3</v>
      </c>
      <c r="I309" s="21">
        <f>SUM(I302:I308)</f>
        <v>0</v>
      </c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</row>
    <row r="310" spans="1:209" s="6" customFormat="1">
      <c r="A310" s="38" t="s">
        <v>73</v>
      </c>
      <c r="B310" s="16"/>
      <c r="C310" s="17"/>
      <c r="D310" s="18"/>
      <c r="E310" s="19"/>
      <c r="F310" s="19"/>
      <c r="G310" s="19"/>
      <c r="H310" s="19"/>
      <c r="I310" s="20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</row>
    <row r="311" spans="1:209" s="6" customFormat="1">
      <c r="A311" s="51" t="s">
        <v>16</v>
      </c>
      <c r="B311" s="44"/>
      <c r="C311" s="36">
        <v>2022</v>
      </c>
      <c r="D311" s="15">
        <f t="shared" ref="D311:I312" si="127">D317+D323+D326</f>
        <v>3669</v>
      </c>
      <c r="E311" s="15">
        <f t="shared" si="127"/>
        <v>132.1</v>
      </c>
      <c r="F311" s="15">
        <f t="shared" si="127"/>
        <v>1081.3</v>
      </c>
      <c r="G311" s="15">
        <f t="shared" si="127"/>
        <v>0</v>
      </c>
      <c r="H311" s="15">
        <f t="shared" si="127"/>
        <v>2455.6000000000004</v>
      </c>
      <c r="I311" s="15">
        <f t="shared" si="127"/>
        <v>0</v>
      </c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</row>
    <row r="312" spans="1:209" s="6" customFormat="1">
      <c r="A312" s="52"/>
      <c r="B312" s="44"/>
      <c r="C312" s="36">
        <v>2023</v>
      </c>
      <c r="D312" s="15">
        <f t="shared" si="127"/>
        <v>3785.8</v>
      </c>
      <c r="E312" s="15">
        <f t="shared" si="127"/>
        <v>204.2</v>
      </c>
      <c r="F312" s="15">
        <f t="shared" si="127"/>
        <v>1274.4000000000001</v>
      </c>
      <c r="G312" s="15">
        <f t="shared" si="127"/>
        <v>0</v>
      </c>
      <c r="H312" s="15">
        <f t="shared" si="127"/>
        <v>2307.1999999999998</v>
      </c>
      <c r="I312" s="15">
        <f t="shared" si="127"/>
        <v>0</v>
      </c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</row>
    <row r="313" spans="1:209" s="6" customFormat="1">
      <c r="A313" s="52"/>
      <c r="B313" s="44"/>
      <c r="C313" s="36">
        <v>2024</v>
      </c>
      <c r="D313" s="15">
        <f t="shared" ref="D313:I313" si="128">D319+D328+D330</f>
        <v>12583.6</v>
      </c>
      <c r="E313" s="15">
        <f t="shared" si="128"/>
        <v>0</v>
      </c>
      <c r="F313" s="15">
        <f t="shared" si="128"/>
        <v>0</v>
      </c>
      <c r="G313" s="15">
        <f t="shared" si="128"/>
        <v>5578</v>
      </c>
      <c r="H313" s="15">
        <f t="shared" si="128"/>
        <v>7005.6</v>
      </c>
      <c r="I313" s="15">
        <f t="shared" si="128"/>
        <v>0</v>
      </c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</row>
    <row r="314" spans="1:209" s="6" customFormat="1">
      <c r="A314" s="52"/>
      <c r="B314" s="44"/>
      <c r="C314" s="36">
        <v>2025</v>
      </c>
      <c r="D314" s="15">
        <f>SUM(E314:I314)</f>
        <v>13623.599999999999</v>
      </c>
      <c r="E314" s="15">
        <f>E320+E332+E334+E336</f>
        <v>0</v>
      </c>
      <c r="F314" s="15">
        <f>F320+F332+F334+F336</f>
        <v>0</v>
      </c>
      <c r="G314" s="15">
        <f>G320+G332+G334+G336</f>
        <v>13074.599999999999</v>
      </c>
      <c r="H314" s="15">
        <f>H320+H332+H334+H336</f>
        <v>549</v>
      </c>
      <c r="I314" s="15">
        <f>I320+I332+I334+I336</f>
        <v>0</v>
      </c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</row>
    <row r="315" spans="1:209" s="6" customFormat="1">
      <c r="A315" s="52"/>
      <c r="B315" s="44"/>
      <c r="C315" s="36">
        <v>2026</v>
      </c>
      <c r="D315" s="15">
        <f>SUM(E315:I315)</f>
        <v>25607.7</v>
      </c>
      <c r="E315" s="15">
        <f t="shared" ref="E315:H315" si="129">E321+E337</f>
        <v>0</v>
      </c>
      <c r="F315" s="15">
        <f t="shared" si="129"/>
        <v>0</v>
      </c>
      <c r="G315" s="15">
        <f t="shared" si="129"/>
        <v>22435.3</v>
      </c>
      <c r="H315" s="15">
        <f t="shared" si="129"/>
        <v>3172.4</v>
      </c>
      <c r="I315" s="15">
        <f>I321+I337</f>
        <v>0</v>
      </c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</row>
    <row r="316" spans="1:209" s="6" customFormat="1">
      <c r="A316" s="53"/>
      <c r="B316" s="44"/>
      <c r="C316" s="36" t="s">
        <v>16</v>
      </c>
      <c r="D316" s="15">
        <f t="shared" ref="D316:I316" si="130">SUM(D311:D315)</f>
        <v>59269.7</v>
      </c>
      <c r="E316" s="15">
        <f t="shared" si="130"/>
        <v>336.29999999999995</v>
      </c>
      <c r="F316" s="15">
        <f t="shared" si="130"/>
        <v>2355.6999999999998</v>
      </c>
      <c r="G316" s="15">
        <f t="shared" si="130"/>
        <v>41087.899999999994</v>
      </c>
      <c r="H316" s="15">
        <f t="shared" si="130"/>
        <v>15489.800000000001</v>
      </c>
      <c r="I316" s="15">
        <f t="shared" si="130"/>
        <v>0</v>
      </c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</row>
    <row r="317" spans="1:209" s="6" customFormat="1" ht="18.75" customHeight="1">
      <c r="A317" s="45" t="s">
        <v>46</v>
      </c>
      <c r="B317" s="61"/>
      <c r="C317" s="37">
        <v>2022</v>
      </c>
      <c r="D317" s="14">
        <f t="shared" ref="D317:D321" si="131">SUM(E317:I317)</f>
        <v>2364.3000000000002</v>
      </c>
      <c r="E317" s="14">
        <v>0</v>
      </c>
      <c r="F317" s="14">
        <v>0</v>
      </c>
      <c r="G317" s="14">
        <v>0</v>
      </c>
      <c r="H317" s="14">
        <v>2364.3000000000002</v>
      </c>
      <c r="I317" s="14">
        <v>0</v>
      </c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</row>
    <row r="318" spans="1:209" s="6" customFormat="1">
      <c r="A318" s="46"/>
      <c r="B318" s="61"/>
      <c r="C318" s="37">
        <v>2023</v>
      </c>
      <c r="D318" s="14">
        <f t="shared" si="131"/>
        <v>630.70000000000005</v>
      </c>
      <c r="E318" s="14">
        <v>0</v>
      </c>
      <c r="F318" s="14">
        <v>0</v>
      </c>
      <c r="G318" s="14">
        <v>0</v>
      </c>
      <c r="H318" s="14">
        <v>630.70000000000005</v>
      </c>
      <c r="I318" s="14">
        <v>0</v>
      </c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</row>
    <row r="319" spans="1:209" s="6" customFormat="1">
      <c r="A319" s="46"/>
      <c r="B319" s="61"/>
      <c r="C319" s="37">
        <v>2024</v>
      </c>
      <c r="D319" s="14">
        <f t="shared" si="131"/>
        <v>2865.6</v>
      </c>
      <c r="E319" s="14">
        <v>0</v>
      </c>
      <c r="F319" s="14">
        <v>0</v>
      </c>
      <c r="G319" s="14">
        <v>0</v>
      </c>
      <c r="H319" s="14">
        <v>2865.6</v>
      </c>
      <c r="I319" s="14">
        <v>0</v>
      </c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</row>
    <row r="320" spans="1:209" s="6" customFormat="1">
      <c r="A320" s="46"/>
      <c r="B320" s="61"/>
      <c r="C320" s="37">
        <v>2025</v>
      </c>
      <c r="D320" s="14">
        <f t="shared" si="131"/>
        <v>397.9</v>
      </c>
      <c r="E320" s="14">
        <v>0</v>
      </c>
      <c r="F320" s="14">
        <v>0</v>
      </c>
      <c r="G320" s="14">
        <v>0</v>
      </c>
      <c r="H320" s="14">
        <f>628.4-17.3-52.7-160.5</f>
        <v>397.9</v>
      </c>
      <c r="I320" s="14">
        <v>0</v>
      </c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</row>
    <row r="321" spans="1:209" s="6" customFormat="1">
      <c r="A321" s="46"/>
      <c r="B321" s="61"/>
      <c r="C321" s="37">
        <v>2026</v>
      </c>
      <c r="D321" s="14">
        <f t="shared" si="131"/>
        <v>3172.4</v>
      </c>
      <c r="E321" s="14">
        <v>0</v>
      </c>
      <c r="F321" s="14">
        <v>0</v>
      </c>
      <c r="G321" s="14">
        <v>0</v>
      </c>
      <c r="H321" s="14">
        <f>1457.8-671.2+2385.8</f>
        <v>3172.4</v>
      </c>
      <c r="I321" s="14">
        <v>0</v>
      </c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</row>
    <row r="322" spans="1:209" s="6" customFormat="1">
      <c r="A322" s="47"/>
      <c r="B322" s="61"/>
      <c r="C322" s="37" t="s">
        <v>16</v>
      </c>
      <c r="D322" s="14">
        <f t="shared" ref="D322:I322" si="132">SUM(D317:D321)</f>
        <v>9430.9</v>
      </c>
      <c r="E322" s="14">
        <f t="shared" si="132"/>
        <v>0</v>
      </c>
      <c r="F322" s="14">
        <f t="shared" si="132"/>
        <v>0</v>
      </c>
      <c r="G322" s="14">
        <f t="shared" si="132"/>
        <v>0</v>
      </c>
      <c r="H322" s="14">
        <f t="shared" si="132"/>
        <v>9430.9</v>
      </c>
      <c r="I322" s="14">
        <f t="shared" si="132"/>
        <v>0</v>
      </c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</row>
    <row r="323" spans="1:209" s="6" customFormat="1">
      <c r="A323" s="45" t="s">
        <v>66</v>
      </c>
      <c r="B323" s="61"/>
      <c r="C323" s="37">
        <v>2022</v>
      </c>
      <c r="D323" s="14">
        <f>SUM(E323:I323)</f>
        <v>1304.6999999999998</v>
      </c>
      <c r="E323" s="14">
        <v>132.1</v>
      </c>
      <c r="F323" s="14">
        <v>1081.3</v>
      </c>
      <c r="G323" s="14">
        <v>0</v>
      </c>
      <c r="H323" s="14">
        <v>91.3</v>
      </c>
      <c r="I323" s="14">
        <v>0</v>
      </c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</row>
    <row r="324" spans="1:209" s="6" customFormat="1">
      <c r="A324" s="46"/>
      <c r="B324" s="61"/>
      <c r="C324" s="37">
        <v>2023</v>
      </c>
      <c r="D324" s="14">
        <f>SUM(E324:I324)</f>
        <v>3122.1000000000004</v>
      </c>
      <c r="E324" s="14">
        <v>204.2</v>
      </c>
      <c r="F324" s="14">
        <v>1274.4000000000001</v>
      </c>
      <c r="G324" s="14">
        <v>0</v>
      </c>
      <c r="H324" s="14">
        <v>1643.5</v>
      </c>
      <c r="I324" s="14">
        <v>0</v>
      </c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</row>
    <row r="325" spans="1:209" s="6" customFormat="1">
      <c r="A325" s="47"/>
      <c r="B325" s="61"/>
      <c r="C325" s="37" t="s">
        <v>16</v>
      </c>
      <c r="D325" s="14">
        <f>SUM(D323:D324)</f>
        <v>4426.8</v>
      </c>
      <c r="E325" s="14">
        <f t="shared" ref="E325:I325" si="133">SUM(E323:E324)</f>
        <v>336.29999999999995</v>
      </c>
      <c r="F325" s="14">
        <f t="shared" si="133"/>
        <v>2355.6999999999998</v>
      </c>
      <c r="G325" s="14">
        <f t="shared" si="133"/>
        <v>0</v>
      </c>
      <c r="H325" s="14">
        <f t="shared" si="133"/>
        <v>1734.8</v>
      </c>
      <c r="I325" s="14">
        <f t="shared" si="133"/>
        <v>0</v>
      </c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</row>
    <row r="326" spans="1:209" s="6" customFormat="1" ht="18.75" customHeight="1">
      <c r="A326" s="45" t="s">
        <v>47</v>
      </c>
      <c r="B326" s="61"/>
      <c r="C326" s="37">
        <v>2022</v>
      </c>
      <c r="D326" s="14">
        <f>SUM(E326:I326)</f>
        <v>0</v>
      </c>
      <c r="E326" s="14">
        <v>0</v>
      </c>
      <c r="F326" s="14">
        <v>0</v>
      </c>
      <c r="G326" s="14">
        <v>0</v>
      </c>
      <c r="H326" s="14">
        <v>0</v>
      </c>
      <c r="I326" s="14">
        <v>0</v>
      </c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</row>
    <row r="327" spans="1:209" s="6" customFormat="1">
      <c r="A327" s="46"/>
      <c r="B327" s="61"/>
      <c r="C327" s="37">
        <v>2023</v>
      </c>
      <c r="D327" s="14">
        <f>SUM(E327:I327)</f>
        <v>33</v>
      </c>
      <c r="E327" s="14">
        <v>0</v>
      </c>
      <c r="F327" s="14">
        <v>0</v>
      </c>
      <c r="G327" s="14">
        <v>0</v>
      </c>
      <c r="H327" s="14">
        <v>33</v>
      </c>
      <c r="I327" s="14">
        <v>0</v>
      </c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</row>
    <row r="328" spans="1:209" s="6" customFormat="1">
      <c r="A328" s="46"/>
      <c r="B328" s="61"/>
      <c r="C328" s="37">
        <v>2024</v>
      </c>
      <c r="D328" s="14">
        <f>SUM(E328:I328)</f>
        <v>5578</v>
      </c>
      <c r="E328" s="14">
        <v>0</v>
      </c>
      <c r="F328" s="14">
        <v>0</v>
      </c>
      <c r="G328" s="14">
        <v>5578</v>
      </c>
      <c r="H328" s="14">
        <v>0</v>
      </c>
      <c r="I328" s="14">
        <v>0</v>
      </c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</row>
    <row r="329" spans="1:209" s="6" customFormat="1">
      <c r="A329" s="47"/>
      <c r="B329" s="61"/>
      <c r="C329" s="37" t="s">
        <v>16</v>
      </c>
      <c r="D329" s="14">
        <f t="shared" ref="D329:I329" si="134">SUM(D326:D328)</f>
        <v>5611</v>
      </c>
      <c r="E329" s="14">
        <f t="shared" si="134"/>
        <v>0</v>
      </c>
      <c r="F329" s="14">
        <f t="shared" si="134"/>
        <v>0</v>
      </c>
      <c r="G329" s="14">
        <f t="shared" si="134"/>
        <v>5578</v>
      </c>
      <c r="H329" s="14">
        <f t="shared" si="134"/>
        <v>33</v>
      </c>
      <c r="I329" s="14">
        <f t="shared" si="134"/>
        <v>0</v>
      </c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</row>
    <row r="330" spans="1:209" s="6" customFormat="1" ht="18" customHeight="1">
      <c r="A330" s="45" t="s">
        <v>24</v>
      </c>
      <c r="B330" s="48"/>
      <c r="C330" s="37">
        <v>2024</v>
      </c>
      <c r="D330" s="14">
        <f>SUM(E330:I330)</f>
        <v>4140</v>
      </c>
      <c r="E330" s="14">
        <v>0</v>
      </c>
      <c r="F330" s="14">
        <v>0</v>
      </c>
      <c r="G330" s="14">
        <v>0</v>
      </c>
      <c r="H330" s="14">
        <v>4140</v>
      </c>
      <c r="I330" s="14">
        <v>0</v>
      </c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</row>
    <row r="331" spans="1:209" s="6" customFormat="1" ht="22.5" customHeight="1">
      <c r="A331" s="47"/>
      <c r="B331" s="50"/>
      <c r="C331" s="37" t="s">
        <v>16</v>
      </c>
      <c r="D331" s="14">
        <f t="shared" ref="D331:H331" si="135">SUM(D330:D330)</f>
        <v>4140</v>
      </c>
      <c r="E331" s="14">
        <f t="shared" si="135"/>
        <v>0</v>
      </c>
      <c r="F331" s="14">
        <f t="shared" si="135"/>
        <v>0</v>
      </c>
      <c r="G331" s="14">
        <f t="shared" si="135"/>
        <v>0</v>
      </c>
      <c r="H331" s="14">
        <f t="shared" si="135"/>
        <v>4140</v>
      </c>
      <c r="I331" s="14">
        <f>I330</f>
        <v>0</v>
      </c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</row>
    <row r="332" spans="1:209" s="6" customFormat="1" ht="21.75" customHeight="1">
      <c r="A332" s="62" t="s">
        <v>84</v>
      </c>
      <c r="B332" s="70"/>
      <c r="C332" s="37">
        <v>2025</v>
      </c>
      <c r="D332" s="14">
        <f t="shared" ref="D332" si="136">SUM(E332:I332)</f>
        <v>1362.4</v>
      </c>
      <c r="E332" s="14">
        <v>0</v>
      </c>
      <c r="F332" s="14">
        <v>0</v>
      </c>
      <c r="G332" s="14">
        <f>1765.2-553.9</f>
        <v>1211.3000000000002</v>
      </c>
      <c r="H332" s="14">
        <f>153.5-2.4</f>
        <v>151.1</v>
      </c>
      <c r="I332" s="14">
        <v>0</v>
      </c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</row>
    <row r="333" spans="1:209" s="6" customFormat="1" ht="27" customHeight="1">
      <c r="A333" s="64"/>
      <c r="B333" s="71"/>
      <c r="C333" s="37" t="s">
        <v>16</v>
      </c>
      <c r="D333" s="14">
        <f t="shared" ref="D333:H333" si="137">D332</f>
        <v>1362.4</v>
      </c>
      <c r="E333" s="14">
        <f t="shared" si="137"/>
        <v>0</v>
      </c>
      <c r="F333" s="14">
        <f t="shared" si="137"/>
        <v>0</v>
      </c>
      <c r="G333" s="14">
        <f t="shared" si="137"/>
        <v>1211.3000000000002</v>
      </c>
      <c r="H333" s="14">
        <f t="shared" si="137"/>
        <v>151.1</v>
      </c>
      <c r="I333" s="14">
        <f>I332</f>
        <v>0</v>
      </c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</row>
    <row r="334" spans="1:209" s="6" customFormat="1" ht="30.75" customHeight="1">
      <c r="A334" s="62" t="s">
        <v>83</v>
      </c>
      <c r="B334" s="70"/>
      <c r="C334" s="37">
        <v>2025</v>
      </c>
      <c r="D334" s="14">
        <f t="shared" ref="D334" si="138">SUM(E334:I334)</f>
        <v>0</v>
      </c>
      <c r="E334" s="14">
        <v>0</v>
      </c>
      <c r="F334" s="14">
        <v>0</v>
      </c>
      <c r="G334" s="14">
        <f>799.4-799.4</f>
        <v>0</v>
      </c>
      <c r="H334" s="14">
        <v>0</v>
      </c>
      <c r="I334" s="14">
        <v>0</v>
      </c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</row>
    <row r="335" spans="1:209" s="6" customFormat="1" ht="37.5" customHeight="1">
      <c r="A335" s="64"/>
      <c r="B335" s="71"/>
      <c r="C335" s="37" t="s">
        <v>16</v>
      </c>
      <c r="D335" s="14">
        <f t="shared" ref="D335:H335" si="139">D334</f>
        <v>0</v>
      </c>
      <c r="E335" s="14">
        <f t="shared" si="139"/>
        <v>0</v>
      </c>
      <c r="F335" s="14">
        <f t="shared" si="139"/>
        <v>0</v>
      </c>
      <c r="G335" s="14">
        <f t="shared" si="139"/>
        <v>0</v>
      </c>
      <c r="H335" s="14">
        <f t="shared" si="139"/>
        <v>0</v>
      </c>
      <c r="I335" s="14">
        <f>I334</f>
        <v>0</v>
      </c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</row>
    <row r="336" spans="1:209" s="6" customFormat="1" ht="18.75" customHeight="1">
      <c r="A336" s="62" t="s">
        <v>89</v>
      </c>
      <c r="B336" s="70"/>
      <c r="C336" s="37">
        <v>2025</v>
      </c>
      <c r="D336" s="14">
        <f t="shared" ref="D336:D337" si="140">SUM(E336:I336)</f>
        <v>11863.3</v>
      </c>
      <c r="E336" s="14">
        <v>0</v>
      </c>
      <c r="F336" s="14">
        <v>0</v>
      </c>
      <c r="G336" s="14">
        <f>0+11863.3</f>
        <v>11863.3</v>
      </c>
      <c r="H336" s="14">
        <v>0</v>
      </c>
      <c r="I336" s="14">
        <v>0</v>
      </c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</row>
    <row r="337" spans="1:209" s="6" customFormat="1" ht="19.5" customHeight="1">
      <c r="A337" s="63"/>
      <c r="B337" s="72"/>
      <c r="C337" s="37">
        <v>2026</v>
      </c>
      <c r="D337" s="14">
        <f t="shared" si="140"/>
        <v>22435.3</v>
      </c>
      <c r="E337" s="14">
        <v>0</v>
      </c>
      <c r="F337" s="14">
        <v>0</v>
      </c>
      <c r="G337" s="14">
        <f>0+3897.7+18537.6</f>
        <v>22435.3</v>
      </c>
      <c r="H337" s="14">
        <v>0</v>
      </c>
      <c r="I337" s="14">
        <v>0</v>
      </c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  <c r="GW337" s="5"/>
      <c r="GX337" s="5"/>
      <c r="GY337" s="5"/>
      <c r="GZ337" s="5"/>
      <c r="HA337" s="5"/>
    </row>
    <row r="338" spans="1:209" s="6" customFormat="1" ht="18.75" customHeight="1">
      <c r="A338" s="64"/>
      <c r="B338" s="71"/>
      <c r="C338" s="37" t="s">
        <v>16</v>
      </c>
      <c r="D338" s="14">
        <f t="shared" ref="D338:H338" si="141">SUM(D336:D337)</f>
        <v>34298.6</v>
      </c>
      <c r="E338" s="14">
        <f t="shared" si="141"/>
        <v>0</v>
      </c>
      <c r="F338" s="14">
        <f t="shared" si="141"/>
        <v>0</v>
      </c>
      <c r="G338" s="14">
        <f t="shared" si="141"/>
        <v>34298.6</v>
      </c>
      <c r="H338" s="14">
        <f t="shared" si="141"/>
        <v>0</v>
      </c>
      <c r="I338" s="14">
        <f>SUM(I336:I337)</f>
        <v>0</v>
      </c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  <c r="GM338" s="5"/>
      <c r="GN338" s="5"/>
      <c r="GO338" s="5"/>
      <c r="GP338" s="5"/>
      <c r="GQ338" s="5"/>
      <c r="GR338" s="5"/>
      <c r="GS338" s="5"/>
      <c r="GT338" s="5"/>
      <c r="GU338" s="5"/>
      <c r="GV338" s="5"/>
      <c r="GW338" s="5"/>
      <c r="GX338" s="5"/>
      <c r="GY338" s="5"/>
      <c r="GZ338" s="5"/>
      <c r="HA338" s="5"/>
    </row>
    <row r="339" spans="1:209" s="6" customFormat="1" ht="28.5" customHeight="1">
      <c r="A339" s="73" t="s">
        <v>74</v>
      </c>
      <c r="B339" s="74"/>
      <c r="C339" s="74"/>
      <c r="D339" s="74"/>
      <c r="E339" s="74"/>
      <c r="F339" s="74"/>
      <c r="G339" s="74"/>
      <c r="H339" s="74"/>
      <c r="I339" s="7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  <c r="GM339" s="5"/>
      <c r="GN339" s="5"/>
      <c r="GO339" s="5"/>
      <c r="GP339" s="5"/>
      <c r="GQ339" s="5"/>
      <c r="GR339" s="5"/>
      <c r="GS339" s="5"/>
      <c r="GT339" s="5"/>
      <c r="GU339" s="5"/>
      <c r="GV339" s="5"/>
      <c r="GW339" s="5"/>
      <c r="GX339" s="5"/>
      <c r="GY339" s="5"/>
      <c r="GZ339" s="5"/>
      <c r="HA339" s="5"/>
    </row>
    <row r="340" spans="1:209" s="6" customFormat="1">
      <c r="A340" s="51" t="s">
        <v>16</v>
      </c>
      <c r="B340" s="44"/>
      <c r="C340" s="36">
        <v>2022</v>
      </c>
      <c r="D340" s="15">
        <f t="shared" ref="D340:I341" si="142">D346</f>
        <v>1761.2</v>
      </c>
      <c r="E340" s="15">
        <f t="shared" si="142"/>
        <v>0</v>
      </c>
      <c r="F340" s="15">
        <f t="shared" si="142"/>
        <v>0</v>
      </c>
      <c r="G340" s="15">
        <f t="shared" si="142"/>
        <v>0</v>
      </c>
      <c r="H340" s="15">
        <f t="shared" si="142"/>
        <v>1761.2</v>
      </c>
      <c r="I340" s="15">
        <f t="shared" si="142"/>
        <v>0</v>
      </c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  <c r="GM340" s="5"/>
      <c r="GN340" s="5"/>
      <c r="GO340" s="5"/>
      <c r="GP340" s="5"/>
      <c r="GQ340" s="5"/>
      <c r="GR340" s="5"/>
      <c r="GS340" s="5"/>
      <c r="GT340" s="5"/>
      <c r="GU340" s="5"/>
      <c r="GV340" s="5"/>
      <c r="GW340" s="5"/>
      <c r="GX340" s="5"/>
      <c r="GY340" s="5"/>
      <c r="GZ340" s="5"/>
      <c r="HA340" s="5"/>
    </row>
    <row r="341" spans="1:209" s="6" customFormat="1">
      <c r="A341" s="52"/>
      <c r="B341" s="44"/>
      <c r="C341" s="36">
        <v>2023</v>
      </c>
      <c r="D341" s="15">
        <f t="shared" si="142"/>
        <v>0</v>
      </c>
      <c r="E341" s="15">
        <f t="shared" si="142"/>
        <v>0</v>
      </c>
      <c r="F341" s="15">
        <f t="shared" si="142"/>
        <v>0</v>
      </c>
      <c r="G341" s="15">
        <f t="shared" si="142"/>
        <v>0</v>
      </c>
      <c r="H341" s="15">
        <f t="shared" si="142"/>
        <v>0</v>
      </c>
      <c r="I341" s="15">
        <f t="shared" si="142"/>
        <v>0</v>
      </c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  <c r="GM341" s="5"/>
      <c r="GN341" s="5"/>
      <c r="GO341" s="5"/>
      <c r="GP341" s="5"/>
      <c r="GQ341" s="5"/>
      <c r="GR341" s="5"/>
      <c r="GS341" s="5"/>
      <c r="GT341" s="5"/>
      <c r="GU341" s="5"/>
      <c r="GV341" s="5"/>
      <c r="GW341" s="5"/>
      <c r="GX341" s="5"/>
      <c r="GY341" s="5"/>
      <c r="GZ341" s="5"/>
      <c r="HA341" s="5"/>
    </row>
    <row r="342" spans="1:209" s="6" customFormat="1">
      <c r="A342" s="52"/>
      <c r="B342" s="44"/>
      <c r="C342" s="36">
        <v>2024</v>
      </c>
      <c r="D342" s="15">
        <f t="shared" ref="D342:I344" si="143">D348+D352</f>
        <v>0</v>
      </c>
      <c r="E342" s="15">
        <f t="shared" si="143"/>
        <v>0</v>
      </c>
      <c r="F342" s="15">
        <f t="shared" si="143"/>
        <v>0</v>
      </c>
      <c r="G342" s="15">
        <f t="shared" si="143"/>
        <v>0</v>
      </c>
      <c r="H342" s="15">
        <f t="shared" si="143"/>
        <v>0</v>
      </c>
      <c r="I342" s="15">
        <f t="shared" si="143"/>
        <v>0</v>
      </c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  <c r="GF342" s="5"/>
      <c r="GG342" s="5"/>
      <c r="GH342" s="5"/>
      <c r="GI342" s="5"/>
      <c r="GJ342" s="5"/>
      <c r="GK342" s="5"/>
      <c r="GL342" s="5"/>
      <c r="GM342" s="5"/>
      <c r="GN342" s="5"/>
      <c r="GO342" s="5"/>
      <c r="GP342" s="5"/>
      <c r="GQ342" s="5"/>
      <c r="GR342" s="5"/>
      <c r="GS342" s="5"/>
      <c r="GT342" s="5"/>
      <c r="GU342" s="5"/>
      <c r="GV342" s="5"/>
      <c r="GW342" s="5"/>
      <c r="GX342" s="5"/>
      <c r="GY342" s="5"/>
      <c r="GZ342" s="5"/>
      <c r="HA342" s="5"/>
    </row>
    <row r="343" spans="1:209" s="6" customFormat="1">
      <c r="A343" s="52"/>
      <c r="B343" s="44"/>
      <c r="C343" s="36">
        <v>2025</v>
      </c>
      <c r="D343" s="15">
        <f>SUM(E343:I343)</f>
        <v>9218.5</v>
      </c>
      <c r="E343" s="15">
        <f t="shared" si="143"/>
        <v>0</v>
      </c>
      <c r="F343" s="15">
        <f t="shared" si="143"/>
        <v>0</v>
      </c>
      <c r="G343" s="15">
        <f t="shared" si="143"/>
        <v>2300</v>
      </c>
      <c r="H343" s="15">
        <f t="shared" si="143"/>
        <v>6918.5</v>
      </c>
      <c r="I343" s="15">
        <f t="shared" si="143"/>
        <v>0</v>
      </c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  <c r="GM343" s="5"/>
      <c r="GN343" s="5"/>
      <c r="GO343" s="5"/>
      <c r="GP343" s="5"/>
      <c r="GQ343" s="5"/>
      <c r="GR343" s="5"/>
      <c r="GS343" s="5"/>
      <c r="GT343" s="5"/>
      <c r="GU343" s="5"/>
      <c r="GV343" s="5"/>
      <c r="GW343" s="5"/>
      <c r="GX343" s="5"/>
      <c r="GY343" s="5"/>
      <c r="GZ343" s="5"/>
      <c r="HA343" s="5"/>
    </row>
    <row r="344" spans="1:209" s="6" customFormat="1">
      <c r="A344" s="52"/>
      <c r="B344" s="44"/>
      <c r="C344" s="36">
        <v>2026</v>
      </c>
      <c r="D344" s="15">
        <f>SUM(E344:I344)</f>
        <v>9136.6</v>
      </c>
      <c r="E344" s="15">
        <f t="shared" si="143"/>
        <v>0</v>
      </c>
      <c r="F344" s="15">
        <f t="shared" si="143"/>
        <v>0</v>
      </c>
      <c r="G344" s="15">
        <f t="shared" si="143"/>
        <v>2275</v>
      </c>
      <c r="H344" s="15">
        <f t="shared" si="143"/>
        <v>6861.6</v>
      </c>
      <c r="I344" s="15">
        <f t="shared" si="143"/>
        <v>0</v>
      </c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  <c r="GM344" s="5"/>
      <c r="GN344" s="5"/>
      <c r="GO344" s="5"/>
      <c r="GP344" s="5"/>
      <c r="GQ344" s="5"/>
      <c r="GR344" s="5"/>
      <c r="GS344" s="5"/>
      <c r="GT344" s="5"/>
      <c r="GU344" s="5"/>
      <c r="GV344" s="5"/>
      <c r="GW344" s="5"/>
      <c r="GX344" s="5"/>
      <c r="GY344" s="5"/>
      <c r="GZ344" s="5"/>
      <c r="HA344" s="5"/>
    </row>
    <row r="345" spans="1:209" s="6" customFormat="1">
      <c r="A345" s="53"/>
      <c r="B345" s="44"/>
      <c r="C345" s="36" t="s">
        <v>16</v>
      </c>
      <c r="D345" s="15">
        <f t="shared" ref="D345:H345" si="144">SUM(D340:D344)</f>
        <v>20116.300000000003</v>
      </c>
      <c r="E345" s="15">
        <f t="shared" si="144"/>
        <v>0</v>
      </c>
      <c r="F345" s="15">
        <f t="shared" si="144"/>
        <v>0</v>
      </c>
      <c r="G345" s="15">
        <f t="shared" si="144"/>
        <v>4575</v>
      </c>
      <c r="H345" s="15">
        <f t="shared" si="144"/>
        <v>15541.300000000001</v>
      </c>
      <c r="I345" s="15">
        <f>SUM(I340:I344)</f>
        <v>0</v>
      </c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  <c r="GM345" s="5"/>
      <c r="GN345" s="5"/>
      <c r="GO345" s="5"/>
      <c r="GP345" s="5"/>
      <c r="GQ345" s="5"/>
      <c r="GR345" s="5"/>
      <c r="GS345" s="5"/>
      <c r="GT345" s="5"/>
      <c r="GU345" s="5"/>
      <c r="GV345" s="5"/>
      <c r="GW345" s="5"/>
      <c r="GX345" s="5"/>
      <c r="GY345" s="5"/>
      <c r="GZ345" s="5"/>
      <c r="HA345" s="5"/>
    </row>
    <row r="346" spans="1:209" s="6" customFormat="1" ht="18.75" customHeight="1">
      <c r="A346" s="45" t="s">
        <v>55</v>
      </c>
      <c r="B346" s="61"/>
      <c r="C346" s="37">
        <v>2022</v>
      </c>
      <c r="D346" s="14">
        <f>SUM(E346:I346)</f>
        <v>1761.2</v>
      </c>
      <c r="E346" s="14">
        <v>0</v>
      </c>
      <c r="F346" s="14">
        <v>0</v>
      </c>
      <c r="G346" s="14">
        <v>0</v>
      </c>
      <c r="H346" s="14">
        <v>1761.2</v>
      </c>
      <c r="I346" s="14">
        <v>0</v>
      </c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  <c r="GM346" s="5"/>
      <c r="GN346" s="5"/>
      <c r="GO346" s="5"/>
      <c r="GP346" s="5"/>
      <c r="GQ346" s="5"/>
      <c r="GR346" s="5"/>
      <c r="GS346" s="5"/>
      <c r="GT346" s="5"/>
      <c r="GU346" s="5"/>
      <c r="GV346" s="5"/>
      <c r="GW346" s="5"/>
      <c r="GX346" s="5"/>
      <c r="GY346" s="5"/>
      <c r="GZ346" s="5"/>
      <c r="HA346" s="5"/>
    </row>
    <row r="347" spans="1:209" s="6" customFormat="1">
      <c r="A347" s="46"/>
      <c r="B347" s="61"/>
      <c r="C347" s="37">
        <v>2023</v>
      </c>
      <c r="D347" s="14">
        <f>SUM(E347:I347)</f>
        <v>0</v>
      </c>
      <c r="E347" s="14">
        <v>0</v>
      </c>
      <c r="F347" s="14">
        <v>0</v>
      </c>
      <c r="G347" s="14">
        <v>0</v>
      </c>
      <c r="H347" s="14">
        <v>0</v>
      </c>
      <c r="I347" s="14">
        <v>0</v>
      </c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  <c r="GM347" s="5"/>
      <c r="GN347" s="5"/>
      <c r="GO347" s="5"/>
      <c r="GP347" s="5"/>
      <c r="GQ347" s="5"/>
      <c r="GR347" s="5"/>
      <c r="GS347" s="5"/>
      <c r="GT347" s="5"/>
      <c r="GU347" s="5"/>
      <c r="GV347" s="5"/>
      <c r="GW347" s="5"/>
      <c r="GX347" s="5"/>
      <c r="GY347" s="5"/>
      <c r="GZ347" s="5"/>
      <c r="HA347" s="5"/>
    </row>
    <row r="348" spans="1:209" s="6" customFormat="1">
      <c r="A348" s="46"/>
      <c r="B348" s="61"/>
      <c r="C348" s="37">
        <v>2024</v>
      </c>
      <c r="D348" s="14">
        <f>SUM(E348:I348)</f>
        <v>0</v>
      </c>
      <c r="E348" s="14">
        <v>0</v>
      </c>
      <c r="F348" s="14">
        <v>0</v>
      </c>
      <c r="G348" s="14">
        <v>0</v>
      </c>
      <c r="H348" s="14">
        <v>0</v>
      </c>
      <c r="I348" s="14">
        <v>0</v>
      </c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  <c r="GM348" s="5"/>
      <c r="GN348" s="5"/>
      <c r="GO348" s="5"/>
      <c r="GP348" s="5"/>
      <c r="GQ348" s="5"/>
      <c r="GR348" s="5"/>
      <c r="GS348" s="5"/>
      <c r="GT348" s="5"/>
      <c r="GU348" s="5"/>
      <c r="GV348" s="5"/>
      <c r="GW348" s="5"/>
      <c r="GX348" s="5"/>
      <c r="GY348" s="5"/>
      <c r="GZ348" s="5"/>
      <c r="HA348" s="5"/>
    </row>
    <row r="349" spans="1:209" s="6" customFormat="1">
      <c r="A349" s="46"/>
      <c r="B349" s="61"/>
      <c r="C349" s="37">
        <v>2025</v>
      </c>
      <c r="D349" s="14">
        <f>SUM(E349:I349)</f>
        <v>2500</v>
      </c>
      <c r="E349" s="14">
        <v>0</v>
      </c>
      <c r="F349" s="14">
        <v>0</v>
      </c>
      <c r="G349" s="14">
        <v>2300</v>
      </c>
      <c r="H349" s="14">
        <v>200</v>
      </c>
      <c r="I349" s="14">
        <v>0</v>
      </c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  <c r="GM349" s="5"/>
      <c r="GN349" s="5"/>
      <c r="GO349" s="5"/>
      <c r="GP349" s="5"/>
      <c r="GQ349" s="5"/>
      <c r="GR349" s="5"/>
      <c r="GS349" s="5"/>
      <c r="GT349" s="5"/>
      <c r="GU349" s="5"/>
      <c r="GV349" s="5"/>
      <c r="GW349" s="5"/>
      <c r="GX349" s="5"/>
      <c r="GY349" s="5"/>
      <c r="GZ349" s="5"/>
      <c r="HA349" s="5"/>
    </row>
    <row r="350" spans="1:209" s="6" customFormat="1">
      <c r="A350" s="46"/>
      <c r="B350" s="61"/>
      <c r="C350" s="37">
        <v>2026</v>
      </c>
      <c r="D350" s="14">
        <f>SUM(E350:I350)</f>
        <v>2500</v>
      </c>
      <c r="E350" s="14">
        <v>0</v>
      </c>
      <c r="F350" s="14">
        <v>0</v>
      </c>
      <c r="G350" s="14">
        <f>0+2275</f>
        <v>2275</v>
      </c>
      <c r="H350" s="14">
        <f>0+200+25</f>
        <v>225</v>
      </c>
      <c r="I350" s="14">
        <v>0</v>
      </c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  <c r="GM350" s="5"/>
      <c r="GN350" s="5"/>
      <c r="GO350" s="5"/>
      <c r="GP350" s="5"/>
      <c r="GQ350" s="5"/>
      <c r="GR350" s="5"/>
      <c r="GS350" s="5"/>
      <c r="GT350" s="5"/>
      <c r="GU350" s="5"/>
      <c r="GV350" s="5"/>
      <c r="GW350" s="5"/>
      <c r="GX350" s="5"/>
      <c r="GY350" s="5"/>
      <c r="GZ350" s="5"/>
      <c r="HA350" s="5"/>
    </row>
    <row r="351" spans="1:209" s="6" customFormat="1">
      <c r="A351" s="47"/>
      <c r="B351" s="61"/>
      <c r="C351" s="37" t="s">
        <v>16</v>
      </c>
      <c r="D351" s="14">
        <f t="shared" ref="D351:H351" si="145">SUM(D346:D350)</f>
        <v>6761.2</v>
      </c>
      <c r="E351" s="14">
        <f t="shared" si="145"/>
        <v>0</v>
      </c>
      <c r="F351" s="14">
        <f t="shared" si="145"/>
        <v>0</v>
      </c>
      <c r="G351" s="14">
        <f t="shared" si="145"/>
        <v>4575</v>
      </c>
      <c r="H351" s="14">
        <f t="shared" si="145"/>
        <v>2186.1999999999998</v>
      </c>
      <c r="I351" s="14">
        <f>SUM(I346:I350)</f>
        <v>0</v>
      </c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/>
      <c r="GV351" s="5"/>
      <c r="GW351" s="5"/>
      <c r="GX351" s="5"/>
      <c r="GY351" s="5"/>
      <c r="GZ351" s="5"/>
      <c r="HA351" s="5"/>
    </row>
    <row r="352" spans="1:209" s="6" customFormat="1" ht="18" customHeight="1">
      <c r="A352" s="45" t="s">
        <v>20</v>
      </c>
      <c r="B352" s="48"/>
      <c r="C352" s="37">
        <v>2024</v>
      </c>
      <c r="D352" s="14">
        <f>SUM(E352:I352)</f>
        <v>0</v>
      </c>
      <c r="E352" s="14">
        <v>0</v>
      </c>
      <c r="F352" s="14">
        <v>0</v>
      </c>
      <c r="G352" s="14">
        <v>0</v>
      </c>
      <c r="H352" s="14">
        <v>0</v>
      </c>
      <c r="I352" s="14">
        <v>0</v>
      </c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  <c r="GM352" s="5"/>
      <c r="GN352" s="5"/>
      <c r="GO352" s="5"/>
      <c r="GP352" s="5"/>
      <c r="GQ352" s="5"/>
      <c r="GR352" s="5"/>
      <c r="GS352" s="5"/>
      <c r="GT352" s="5"/>
      <c r="GU352" s="5"/>
      <c r="GV352" s="5"/>
      <c r="GW352" s="5"/>
      <c r="GX352" s="5"/>
      <c r="GY352" s="5"/>
      <c r="GZ352" s="5"/>
      <c r="HA352" s="5"/>
    </row>
    <row r="353" spans="1:209" s="6" customFormat="1" ht="18" customHeight="1">
      <c r="A353" s="46"/>
      <c r="B353" s="49"/>
      <c r="C353" s="37">
        <v>2025</v>
      </c>
      <c r="D353" s="14">
        <f>SUM(E353:I353)</f>
        <v>6718.5</v>
      </c>
      <c r="E353" s="14">
        <v>0</v>
      </c>
      <c r="F353" s="14">
        <v>0</v>
      </c>
      <c r="G353" s="14">
        <v>0</v>
      </c>
      <c r="H353" s="14">
        <f>6300+418.5</f>
        <v>6718.5</v>
      </c>
      <c r="I353" s="14">
        <v>0</v>
      </c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  <c r="GM353" s="5"/>
      <c r="GN353" s="5"/>
      <c r="GO353" s="5"/>
      <c r="GP353" s="5"/>
      <c r="GQ353" s="5"/>
      <c r="GR353" s="5"/>
      <c r="GS353" s="5"/>
      <c r="GT353" s="5"/>
      <c r="GU353" s="5"/>
      <c r="GV353" s="5"/>
      <c r="GW353" s="5"/>
      <c r="GX353" s="5"/>
      <c r="GY353" s="5"/>
      <c r="GZ353" s="5"/>
      <c r="HA353" s="5"/>
    </row>
    <row r="354" spans="1:209" s="6" customFormat="1" ht="18" customHeight="1">
      <c r="A354" s="46"/>
      <c r="B354" s="49"/>
      <c r="C354" s="37">
        <v>2026</v>
      </c>
      <c r="D354" s="14">
        <f>SUM(E354:I354)</f>
        <v>6636.6</v>
      </c>
      <c r="E354" s="14">
        <v>0</v>
      </c>
      <c r="F354" s="14">
        <v>0</v>
      </c>
      <c r="G354" s="14">
        <v>0</v>
      </c>
      <c r="H354" s="14">
        <f>0+6636.6</f>
        <v>6636.6</v>
      </c>
      <c r="I354" s="14">
        <v>0</v>
      </c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  <c r="GM354" s="5"/>
      <c r="GN354" s="5"/>
      <c r="GO354" s="5"/>
      <c r="GP354" s="5"/>
      <c r="GQ354" s="5"/>
      <c r="GR354" s="5"/>
      <c r="GS354" s="5"/>
      <c r="GT354" s="5"/>
      <c r="GU354" s="5"/>
      <c r="GV354" s="5"/>
      <c r="GW354" s="5"/>
      <c r="GX354" s="5"/>
      <c r="GY354" s="5"/>
      <c r="GZ354" s="5"/>
      <c r="HA354" s="5"/>
    </row>
    <row r="355" spans="1:209" s="6" customFormat="1" ht="21" customHeight="1">
      <c r="A355" s="47"/>
      <c r="B355" s="50"/>
      <c r="C355" s="37" t="s">
        <v>16</v>
      </c>
      <c r="D355" s="14">
        <f t="shared" ref="D355:H355" si="146">SUM(D352:D354)</f>
        <v>13355.1</v>
      </c>
      <c r="E355" s="14">
        <f t="shared" si="146"/>
        <v>0</v>
      </c>
      <c r="F355" s="14">
        <f t="shared" si="146"/>
        <v>0</v>
      </c>
      <c r="G355" s="14">
        <f t="shared" si="146"/>
        <v>0</v>
      </c>
      <c r="H355" s="14">
        <f t="shared" si="146"/>
        <v>13355.1</v>
      </c>
      <c r="I355" s="14">
        <f>SUM(I352:I354)</f>
        <v>0</v>
      </c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  <c r="GM355" s="5"/>
      <c r="GN355" s="5"/>
      <c r="GO355" s="5"/>
      <c r="GP355" s="5"/>
      <c r="GQ355" s="5"/>
      <c r="GR355" s="5"/>
      <c r="GS355" s="5"/>
      <c r="GT355" s="5"/>
      <c r="GU355" s="5"/>
      <c r="GV355" s="5"/>
      <c r="GW355" s="5"/>
      <c r="GX355" s="5"/>
      <c r="GY355" s="5"/>
      <c r="GZ355" s="5"/>
      <c r="HA355" s="5"/>
    </row>
    <row r="356" spans="1:209" s="6" customFormat="1">
      <c r="A356" s="38" t="s">
        <v>75</v>
      </c>
      <c r="B356" s="16"/>
      <c r="C356" s="17"/>
      <c r="D356" s="18"/>
      <c r="E356" s="19"/>
      <c r="F356" s="19"/>
      <c r="G356" s="19"/>
      <c r="H356" s="19"/>
      <c r="I356" s="20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  <c r="GM356" s="5"/>
      <c r="GN356" s="5"/>
      <c r="GO356" s="5"/>
      <c r="GP356" s="5"/>
      <c r="GQ356" s="5"/>
      <c r="GR356" s="5"/>
      <c r="GS356" s="5"/>
      <c r="GT356" s="5"/>
      <c r="GU356" s="5"/>
      <c r="GV356" s="5"/>
      <c r="GW356" s="5"/>
      <c r="GX356" s="5"/>
      <c r="GY356" s="5"/>
      <c r="GZ356" s="5"/>
      <c r="HA356" s="5"/>
    </row>
    <row r="357" spans="1:209" s="6" customFormat="1">
      <c r="A357" s="51" t="s">
        <v>16</v>
      </c>
      <c r="B357" s="44"/>
      <c r="C357" s="36">
        <v>2022</v>
      </c>
      <c r="D357" s="15">
        <f t="shared" ref="D357:I358" si="147">D365+D373</f>
        <v>9386.1</v>
      </c>
      <c r="E357" s="15">
        <f t="shared" si="147"/>
        <v>0</v>
      </c>
      <c r="F357" s="15">
        <f t="shared" si="147"/>
        <v>0</v>
      </c>
      <c r="G357" s="15">
        <f t="shared" si="147"/>
        <v>0</v>
      </c>
      <c r="H357" s="15">
        <f t="shared" si="147"/>
        <v>9386.1</v>
      </c>
      <c r="I357" s="15">
        <f t="shared" si="147"/>
        <v>0</v>
      </c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  <c r="FS357" s="5"/>
      <c r="FT357" s="5"/>
      <c r="FU357" s="5"/>
      <c r="FV357" s="5"/>
      <c r="FW357" s="5"/>
      <c r="FX357" s="5"/>
      <c r="FY357" s="5"/>
      <c r="FZ357" s="5"/>
      <c r="GA357" s="5"/>
      <c r="GB357" s="5"/>
      <c r="GC357" s="5"/>
      <c r="GD357" s="5"/>
      <c r="GE357" s="5"/>
      <c r="GF357" s="5"/>
      <c r="GG357" s="5"/>
      <c r="GH357" s="5"/>
      <c r="GI357" s="5"/>
      <c r="GJ357" s="5"/>
      <c r="GK357" s="5"/>
      <c r="GL357" s="5"/>
      <c r="GM357" s="5"/>
      <c r="GN357" s="5"/>
      <c r="GO357" s="5"/>
      <c r="GP357" s="5"/>
      <c r="GQ357" s="5"/>
      <c r="GR357" s="5"/>
      <c r="GS357" s="5"/>
      <c r="GT357" s="5"/>
      <c r="GU357" s="5"/>
      <c r="GV357" s="5"/>
      <c r="GW357" s="5"/>
      <c r="GX357" s="5"/>
      <c r="GY357" s="5"/>
      <c r="GZ357" s="5"/>
      <c r="HA357" s="5"/>
    </row>
    <row r="358" spans="1:209" s="6" customFormat="1">
      <c r="A358" s="52"/>
      <c r="B358" s="44"/>
      <c r="C358" s="36">
        <v>2023</v>
      </c>
      <c r="D358" s="15">
        <f t="shared" si="147"/>
        <v>8491.5</v>
      </c>
      <c r="E358" s="15">
        <f t="shared" si="147"/>
        <v>0</v>
      </c>
      <c r="F358" s="15">
        <f t="shared" si="147"/>
        <v>0</v>
      </c>
      <c r="G358" s="15">
        <f t="shared" si="147"/>
        <v>0</v>
      </c>
      <c r="H358" s="15">
        <f t="shared" si="147"/>
        <v>8491.5</v>
      </c>
      <c r="I358" s="15">
        <f t="shared" si="147"/>
        <v>0</v>
      </c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  <c r="FS358" s="5"/>
      <c r="FT358" s="5"/>
      <c r="FU358" s="5"/>
      <c r="FV358" s="5"/>
      <c r="FW358" s="5"/>
      <c r="FX358" s="5"/>
      <c r="FY358" s="5"/>
      <c r="FZ358" s="5"/>
      <c r="GA358" s="5"/>
      <c r="GB358" s="5"/>
      <c r="GC358" s="5"/>
      <c r="GD358" s="5"/>
      <c r="GE358" s="5"/>
      <c r="GF358" s="5"/>
      <c r="GG358" s="5"/>
      <c r="GH358" s="5"/>
      <c r="GI358" s="5"/>
      <c r="GJ358" s="5"/>
      <c r="GK358" s="5"/>
      <c r="GL358" s="5"/>
      <c r="GM358" s="5"/>
      <c r="GN358" s="5"/>
      <c r="GO358" s="5"/>
      <c r="GP358" s="5"/>
      <c r="GQ358" s="5"/>
      <c r="GR358" s="5"/>
      <c r="GS358" s="5"/>
      <c r="GT358" s="5"/>
      <c r="GU358" s="5"/>
      <c r="GV358" s="5"/>
      <c r="GW358" s="5"/>
      <c r="GX358" s="5"/>
      <c r="GY358" s="5"/>
      <c r="GZ358" s="5"/>
      <c r="HA358" s="5"/>
    </row>
    <row r="359" spans="1:209" s="6" customFormat="1">
      <c r="A359" s="52"/>
      <c r="B359" s="44"/>
      <c r="C359" s="36">
        <v>2024</v>
      </c>
      <c r="D359" s="15">
        <f t="shared" ref="D359:I359" si="148">D367+D375+D381+D383</f>
        <v>5620.1</v>
      </c>
      <c r="E359" s="15">
        <f t="shared" si="148"/>
        <v>0</v>
      </c>
      <c r="F359" s="15">
        <f t="shared" si="148"/>
        <v>0</v>
      </c>
      <c r="G359" s="15">
        <f t="shared" si="148"/>
        <v>0</v>
      </c>
      <c r="H359" s="15">
        <f t="shared" si="148"/>
        <v>5620.1</v>
      </c>
      <c r="I359" s="15">
        <f t="shared" si="148"/>
        <v>0</v>
      </c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  <c r="FS359" s="5"/>
      <c r="FT359" s="5"/>
      <c r="FU359" s="5"/>
      <c r="FV359" s="5"/>
      <c r="FW359" s="5"/>
      <c r="FX359" s="5"/>
      <c r="FY359" s="5"/>
      <c r="FZ359" s="5"/>
      <c r="GA359" s="5"/>
      <c r="GB359" s="5"/>
      <c r="GC359" s="5"/>
      <c r="GD359" s="5"/>
      <c r="GE359" s="5"/>
      <c r="GF359" s="5"/>
      <c r="GG359" s="5"/>
      <c r="GH359" s="5"/>
      <c r="GI359" s="5"/>
      <c r="GJ359" s="5"/>
      <c r="GK359" s="5"/>
      <c r="GL359" s="5"/>
      <c r="GM359" s="5"/>
      <c r="GN359" s="5"/>
      <c r="GO359" s="5"/>
      <c r="GP359" s="5"/>
      <c r="GQ359" s="5"/>
      <c r="GR359" s="5"/>
      <c r="GS359" s="5"/>
      <c r="GT359" s="5"/>
      <c r="GU359" s="5"/>
      <c r="GV359" s="5"/>
      <c r="GW359" s="5"/>
      <c r="GX359" s="5"/>
      <c r="GY359" s="5"/>
      <c r="GZ359" s="5"/>
      <c r="HA359" s="5"/>
    </row>
    <row r="360" spans="1:209" s="6" customFormat="1" ht="21" customHeight="1">
      <c r="A360" s="52"/>
      <c r="B360" s="44"/>
      <c r="C360" s="36">
        <v>2025</v>
      </c>
      <c r="D360" s="15">
        <f>SUM(E360:I360)</f>
        <v>48982</v>
      </c>
      <c r="E360" s="15">
        <f t="shared" ref="E360:I360" si="149">E368+E376+E385+E388</f>
        <v>0</v>
      </c>
      <c r="F360" s="15">
        <f t="shared" si="149"/>
        <v>0</v>
      </c>
      <c r="G360" s="15">
        <f t="shared" si="149"/>
        <v>40071.5</v>
      </c>
      <c r="H360" s="15">
        <f t="shared" si="149"/>
        <v>8910.5</v>
      </c>
      <c r="I360" s="15">
        <f t="shared" si="149"/>
        <v>0</v>
      </c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  <c r="FS360" s="5"/>
      <c r="FT360" s="5"/>
      <c r="FU360" s="5"/>
      <c r="FV360" s="5"/>
      <c r="FW360" s="5"/>
      <c r="FX360" s="5"/>
      <c r="FY360" s="5"/>
      <c r="FZ360" s="5"/>
      <c r="GA360" s="5"/>
      <c r="GB360" s="5"/>
      <c r="GC360" s="5"/>
      <c r="GD360" s="5"/>
      <c r="GE360" s="5"/>
      <c r="GF360" s="5"/>
      <c r="GG360" s="5"/>
      <c r="GH360" s="5"/>
      <c r="GI360" s="5"/>
      <c r="GJ360" s="5"/>
      <c r="GK360" s="5"/>
      <c r="GL360" s="5"/>
      <c r="GM360" s="5"/>
      <c r="GN360" s="5"/>
      <c r="GO360" s="5"/>
      <c r="GP360" s="5"/>
      <c r="GQ360" s="5"/>
      <c r="GR360" s="5"/>
      <c r="GS360" s="5"/>
      <c r="GT360" s="5"/>
      <c r="GU360" s="5"/>
      <c r="GV360" s="5"/>
      <c r="GW360" s="5"/>
      <c r="GX360" s="5"/>
      <c r="GY360" s="5"/>
      <c r="GZ360" s="5"/>
      <c r="HA360" s="5"/>
    </row>
    <row r="361" spans="1:209" s="6" customFormat="1">
      <c r="A361" s="52"/>
      <c r="B361" s="44"/>
      <c r="C361" s="36">
        <v>2026</v>
      </c>
      <c r="D361" s="15">
        <f>SUM(E361:I361)</f>
        <v>47463.5</v>
      </c>
      <c r="E361" s="15">
        <f t="shared" ref="E361:H361" si="150">E369+E377+E386</f>
        <v>0</v>
      </c>
      <c r="F361" s="15">
        <f t="shared" si="150"/>
        <v>0</v>
      </c>
      <c r="G361" s="15">
        <f t="shared" si="150"/>
        <v>30045.699999999997</v>
      </c>
      <c r="H361" s="15">
        <f t="shared" si="150"/>
        <v>17417.8</v>
      </c>
      <c r="I361" s="15">
        <f>I369+I377+I386</f>
        <v>0</v>
      </c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/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/>
      <c r="GV361" s="5"/>
      <c r="GW361" s="5"/>
      <c r="GX361" s="5"/>
      <c r="GY361" s="5"/>
      <c r="GZ361" s="5"/>
      <c r="HA361" s="5"/>
    </row>
    <row r="362" spans="1:209" s="6" customFormat="1">
      <c r="A362" s="52"/>
      <c r="B362" s="44"/>
      <c r="C362" s="36">
        <v>2027</v>
      </c>
      <c r="D362" s="15">
        <f>SUM(E362:I362)</f>
        <v>8308</v>
      </c>
      <c r="E362" s="15">
        <f t="shared" ref="E362:H363" si="151">E370+E378</f>
        <v>0</v>
      </c>
      <c r="F362" s="15">
        <f t="shared" si="151"/>
        <v>0</v>
      </c>
      <c r="G362" s="15">
        <f t="shared" si="151"/>
        <v>0</v>
      </c>
      <c r="H362" s="15">
        <f t="shared" si="151"/>
        <v>8308</v>
      </c>
      <c r="I362" s="15">
        <f>I370+I378</f>
        <v>0</v>
      </c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  <c r="FS362" s="5"/>
      <c r="FT362" s="5"/>
      <c r="FU362" s="5"/>
      <c r="FV362" s="5"/>
      <c r="FW362" s="5"/>
      <c r="FX362" s="5"/>
      <c r="FY362" s="5"/>
      <c r="FZ362" s="5"/>
      <c r="GA362" s="5"/>
      <c r="GB362" s="5"/>
      <c r="GC362" s="5"/>
      <c r="GD362" s="5"/>
      <c r="GE362" s="5"/>
      <c r="GF362" s="5"/>
      <c r="GG362" s="5"/>
      <c r="GH362" s="5"/>
      <c r="GI362" s="5"/>
      <c r="GJ362" s="5"/>
      <c r="GK362" s="5"/>
      <c r="GL362" s="5"/>
      <c r="GM362" s="5"/>
      <c r="GN362" s="5"/>
      <c r="GO362" s="5"/>
      <c r="GP362" s="5"/>
      <c r="GQ362" s="5"/>
      <c r="GR362" s="5"/>
      <c r="GS362" s="5"/>
      <c r="GT362" s="5"/>
      <c r="GU362" s="5"/>
      <c r="GV362" s="5"/>
      <c r="GW362" s="5"/>
      <c r="GX362" s="5"/>
      <c r="GY362" s="5"/>
      <c r="GZ362" s="5"/>
      <c r="HA362" s="5"/>
    </row>
    <row r="363" spans="1:209" s="6" customFormat="1">
      <c r="A363" s="52"/>
      <c r="B363" s="44"/>
      <c r="C363" s="36">
        <v>2028</v>
      </c>
      <c r="D363" s="15">
        <f t="shared" ref="D363" si="152">D371</f>
        <v>5307.2</v>
      </c>
      <c r="E363" s="15">
        <f t="shared" si="151"/>
        <v>0</v>
      </c>
      <c r="F363" s="15">
        <f t="shared" si="151"/>
        <v>0</v>
      </c>
      <c r="G363" s="15">
        <f t="shared" si="151"/>
        <v>0</v>
      </c>
      <c r="H363" s="15">
        <f t="shared" si="151"/>
        <v>5307.2</v>
      </c>
      <c r="I363" s="15">
        <f>I371+I379</f>
        <v>0</v>
      </c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/>
      <c r="FT363" s="5"/>
      <c r="FU363" s="5"/>
      <c r="FV363" s="5"/>
      <c r="FW363" s="5"/>
      <c r="FX363" s="5"/>
      <c r="FY363" s="5"/>
      <c r="FZ363" s="5"/>
      <c r="GA363" s="5"/>
      <c r="GB363" s="5"/>
      <c r="GC363" s="5"/>
      <c r="GD363" s="5"/>
      <c r="GE363" s="5"/>
      <c r="GF363" s="5"/>
      <c r="GG363" s="5"/>
      <c r="GH363" s="5"/>
      <c r="GI363" s="5"/>
      <c r="GJ363" s="5"/>
      <c r="GK363" s="5"/>
      <c r="GL363" s="5"/>
      <c r="GM363" s="5"/>
      <c r="GN363" s="5"/>
      <c r="GO363" s="5"/>
      <c r="GP363" s="5"/>
      <c r="GQ363" s="5"/>
      <c r="GR363" s="5"/>
      <c r="GS363" s="5"/>
      <c r="GT363" s="5"/>
      <c r="GU363" s="5"/>
      <c r="GV363" s="5"/>
      <c r="GW363" s="5"/>
      <c r="GX363" s="5"/>
      <c r="GY363" s="5"/>
      <c r="GZ363" s="5"/>
      <c r="HA363" s="5"/>
    </row>
    <row r="364" spans="1:209" s="6" customFormat="1">
      <c r="A364" s="53"/>
      <c r="B364" s="44"/>
      <c r="C364" s="36" t="s">
        <v>16</v>
      </c>
      <c r="D364" s="22">
        <f t="shared" ref="D364:H364" si="153">SUM(D357:D363)</f>
        <v>133558.39999999999</v>
      </c>
      <c r="E364" s="22">
        <f t="shared" si="153"/>
        <v>0</v>
      </c>
      <c r="F364" s="22">
        <f t="shared" si="153"/>
        <v>0</v>
      </c>
      <c r="G364" s="22">
        <f t="shared" si="153"/>
        <v>70117.2</v>
      </c>
      <c r="H364" s="22">
        <f t="shared" si="153"/>
        <v>63441.2</v>
      </c>
      <c r="I364" s="22">
        <f>SUM(I357:I363)</f>
        <v>0</v>
      </c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  <c r="FO364" s="5"/>
      <c r="FP364" s="5"/>
      <c r="FQ364" s="5"/>
      <c r="FR364" s="5"/>
      <c r="FS364" s="5"/>
      <c r="FT364" s="5"/>
      <c r="FU364" s="5"/>
      <c r="FV364" s="5"/>
      <c r="FW364" s="5"/>
      <c r="FX364" s="5"/>
      <c r="FY364" s="5"/>
      <c r="FZ364" s="5"/>
      <c r="GA364" s="5"/>
      <c r="GB364" s="5"/>
      <c r="GC364" s="5"/>
      <c r="GD364" s="5"/>
      <c r="GE364" s="5"/>
      <c r="GF364" s="5"/>
      <c r="GG364" s="5"/>
      <c r="GH364" s="5"/>
      <c r="GI364" s="5"/>
      <c r="GJ364" s="5"/>
      <c r="GK364" s="5"/>
      <c r="GL364" s="5"/>
      <c r="GM364" s="5"/>
      <c r="GN364" s="5"/>
      <c r="GO364" s="5"/>
      <c r="GP364" s="5"/>
      <c r="GQ364" s="5"/>
      <c r="GR364" s="5"/>
      <c r="GS364" s="5"/>
      <c r="GT364" s="5"/>
      <c r="GU364" s="5"/>
      <c r="GV364" s="5"/>
      <c r="GW364" s="5"/>
      <c r="GX364" s="5"/>
      <c r="GY364" s="5"/>
      <c r="GZ364" s="5"/>
      <c r="HA364" s="5"/>
    </row>
    <row r="365" spans="1:209" s="6" customFormat="1" ht="18.75" customHeight="1">
      <c r="A365" s="45" t="s">
        <v>48</v>
      </c>
      <c r="B365" s="61"/>
      <c r="C365" s="37">
        <v>2022</v>
      </c>
      <c r="D365" s="21">
        <f t="shared" ref="D365:D370" si="154">SUM(E365:I365)</f>
        <v>8188.1</v>
      </c>
      <c r="E365" s="14">
        <v>0</v>
      </c>
      <c r="F365" s="14">
        <v>0</v>
      </c>
      <c r="G365" s="14">
        <v>0</v>
      </c>
      <c r="H365" s="14">
        <v>8188.1</v>
      </c>
      <c r="I365" s="14">
        <v>0</v>
      </c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/>
      <c r="FS365" s="5"/>
      <c r="FT365" s="5"/>
      <c r="FU365" s="5"/>
      <c r="FV365" s="5"/>
      <c r="FW365" s="5"/>
      <c r="FX365" s="5"/>
      <c r="FY365" s="5"/>
      <c r="FZ365" s="5"/>
      <c r="GA365" s="5"/>
      <c r="GB365" s="5"/>
      <c r="GC365" s="5"/>
      <c r="GD365" s="5"/>
      <c r="GE365" s="5"/>
      <c r="GF365" s="5"/>
      <c r="GG365" s="5"/>
      <c r="GH365" s="5"/>
      <c r="GI365" s="5"/>
      <c r="GJ365" s="5"/>
      <c r="GK365" s="5"/>
      <c r="GL365" s="5"/>
      <c r="GM365" s="5"/>
      <c r="GN365" s="5"/>
      <c r="GO365" s="5"/>
      <c r="GP365" s="5"/>
      <c r="GQ365" s="5"/>
      <c r="GR365" s="5"/>
      <c r="GS365" s="5"/>
      <c r="GT365" s="5"/>
      <c r="GU365" s="5"/>
      <c r="GV365" s="5"/>
      <c r="GW365" s="5"/>
      <c r="GX365" s="5"/>
      <c r="GY365" s="5"/>
      <c r="GZ365" s="5"/>
      <c r="HA365" s="5"/>
    </row>
    <row r="366" spans="1:209" s="6" customFormat="1">
      <c r="A366" s="46"/>
      <c r="B366" s="61"/>
      <c r="C366" s="37">
        <v>2023</v>
      </c>
      <c r="D366" s="21">
        <f t="shared" si="154"/>
        <v>7833.4</v>
      </c>
      <c r="E366" s="14">
        <v>0</v>
      </c>
      <c r="F366" s="14">
        <v>0</v>
      </c>
      <c r="G366" s="14">
        <v>0</v>
      </c>
      <c r="H366" s="14">
        <v>7833.4</v>
      </c>
      <c r="I366" s="14">
        <v>0</v>
      </c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  <c r="FS366" s="5"/>
      <c r="FT366" s="5"/>
      <c r="FU366" s="5"/>
      <c r="FV366" s="5"/>
      <c r="FW366" s="5"/>
      <c r="FX366" s="5"/>
      <c r="FY366" s="5"/>
      <c r="FZ366" s="5"/>
      <c r="GA366" s="5"/>
      <c r="GB366" s="5"/>
      <c r="GC366" s="5"/>
      <c r="GD366" s="5"/>
      <c r="GE366" s="5"/>
      <c r="GF366" s="5"/>
      <c r="GG366" s="5"/>
      <c r="GH366" s="5"/>
      <c r="GI366" s="5"/>
      <c r="GJ366" s="5"/>
      <c r="GK366" s="5"/>
      <c r="GL366" s="5"/>
      <c r="GM366" s="5"/>
      <c r="GN366" s="5"/>
      <c r="GO366" s="5"/>
      <c r="GP366" s="5"/>
      <c r="GQ366" s="5"/>
      <c r="GR366" s="5"/>
      <c r="GS366" s="5"/>
      <c r="GT366" s="5"/>
      <c r="GU366" s="5"/>
      <c r="GV366" s="5"/>
      <c r="GW366" s="5"/>
      <c r="GX366" s="5"/>
      <c r="GY366" s="5"/>
      <c r="GZ366" s="5"/>
      <c r="HA366" s="5"/>
    </row>
    <row r="367" spans="1:209" s="6" customFormat="1">
      <c r="A367" s="46"/>
      <c r="B367" s="61"/>
      <c r="C367" s="37">
        <v>2024</v>
      </c>
      <c r="D367" s="21">
        <f t="shared" si="154"/>
        <v>5000</v>
      </c>
      <c r="E367" s="14">
        <v>0</v>
      </c>
      <c r="F367" s="14">
        <v>0</v>
      </c>
      <c r="G367" s="14">
        <v>0</v>
      </c>
      <c r="H367" s="14">
        <v>5000</v>
      </c>
      <c r="I367" s="14">
        <v>0</v>
      </c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  <c r="FS367" s="5"/>
      <c r="FT367" s="5"/>
      <c r="FU367" s="5"/>
      <c r="FV367" s="5"/>
      <c r="FW367" s="5"/>
      <c r="FX367" s="5"/>
      <c r="FY367" s="5"/>
      <c r="FZ367" s="5"/>
      <c r="GA367" s="5"/>
      <c r="GB367" s="5"/>
      <c r="GC367" s="5"/>
      <c r="GD367" s="5"/>
      <c r="GE367" s="5"/>
      <c r="GF367" s="5"/>
      <c r="GG367" s="5"/>
      <c r="GH367" s="5"/>
      <c r="GI367" s="5"/>
      <c r="GJ367" s="5"/>
      <c r="GK367" s="5"/>
      <c r="GL367" s="5"/>
      <c r="GM367" s="5"/>
      <c r="GN367" s="5"/>
      <c r="GO367" s="5"/>
      <c r="GP367" s="5"/>
      <c r="GQ367" s="5"/>
      <c r="GR367" s="5"/>
      <c r="GS367" s="5"/>
      <c r="GT367" s="5"/>
      <c r="GU367" s="5"/>
      <c r="GV367" s="5"/>
      <c r="GW367" s="5"/>
      <c r="GX367" s="5"/>
      <c r="GY367" s="5"/>
      <c r="GZ367" s="5"/>
      <c r="HA367" s="5"/>
    </row>
    <row r="368" spans="1:209" s="6" customFormat="1">
      <c r="A368" s="46"/>
      <c r="B368" s="61"/>
      <c r="C368" s="37">
        <v>2025</v>
      </c>
      <c r="D368" s="21">
        <f t="shared" si="154"/>
        <v>5307.2</v>
      </c>
      <c r="E368" s="14">
        <v>0</v>
      </c>
      <c r="F368" s="14">
        <v>0</v>
      </c>
      <c r="G368" s="14">
        <v>0</v>
      </c>
      <c r="H368" s="14">
        <f>4903+404.2</f>
        <v>5307.2</v>
      </c>
      <c r="I368" s="14">
        <v>0</v>
      </c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  <c r="GW368" s="5"/>
      <c r="GX368" s="5"/>
      <c r="GY368" s="5"/>
      <c r="GZ368" s="5"/>
      <c r="HA368" s="5"/>
    </row>
    <row r="369" spans="1:209" s="6" customFormat="1">
      <c r="A369" s="46"/>
      <c r="B369" s="61"/>
      <c r="C369" s="37">
        <v>2026</v>
      </c>
      <c r="D369" s="21">
        <f t="shared" si="154"/>
        <v>13951.2</v>
      </c>
      <c r="E369" s="14">
        <v>0</v>
      </c>
      <c r="F369" s="14">
        <v>0</v>
      </c>
      <c r="G369" s="14">
        <v>0</v>
      </c>
      <c r="H369" s="14">
        <v>13951.2</v>
      </c>
      <c r="I369" s="14">
        <v>0</v>
      </c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  <c r="FS369" s="5"/>
      <c r="FT369" s="5"/>
      <c r="FU369" s="5"/>
      <c r="FV369" s="5"/>
      <c r="FW369" s="5"/>
      <c r="FX369" s="5"/>
      <c r="FY369" s="5"/>
      <c r="FZ369" s="5"/>
      <c r="GA369" s="5"/>
      <c r="GB369" s="5"/>
      <c r="GC369" s="5"/>
      <c r="GD369" s="5"/>
      <c r="GE369" s="5"/>
      <c r="GF369" s="5"/>
      <c r="GG369" s="5"/>
      <c r="GH369" s="5"/>
      <c r="GI369" s="5"/>
      <c r="GJ369" s="5"/>
      <c r="GK369" s="5"/>
      <c r="GL369" s="5"/>
      <c r="GM369" s="5"/>
      <c r="GN369" s="5"/>
      <c r="GO369" s="5"/>
      <c r="GP369" s="5"/>
      <c r="GQ369" s="5"/>
      <c r="GR369" s="5"/>
      <c r="GS369" s="5"/>
      <c r="GT369" s="5"/>
      <c r="GU369" s="5"/>
      <c r="GV369" s="5"/>
      <c r="GW369" s="5"/>
      <c r="GX369" s="5"/>
      <c r="GY369" s="5"/>
      <c r="GZ369" s="5"/>
      <c r="HA369" s="5"/>
    </row>
    <row r="370" spans="1:209" s="6" customFormat="1">
      <c r="A370" s="46"/>
      <c r="B370" s="61"/>
      <c r="C370" s="37">
        <v>2027</v>
      </c>
      <c r="D370" s="21">
        <f t="shared" si="154"/>
        <v>5307.2</v>
      </c>
      <c r="E370" s="14">
        <v>0</v>
      </c>
      <c r="F370" s="14">
        <v>0</v>
      </c>
      <c r="G370" s="14">
        <v>0</v>
      </c>
      <c r="H370" s="14">
        <v>5307.2</v>
      </c>
      <c r="I370" s="14">
        <v>0</v>
      </c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  <c r="FS370" s="5"/>
      <c r="FT370" s="5"/>
      <c r="FU370" s="5"/>
      <c r="FV370" s="5"/>
      <c r="FW370" s="5"/>
      <c r="FX370" s="5"/>
      <c r="FY370" s="5"/>
      <c r="FZ370" s="5"/>
      <c r="GA370" s="5"/>
      <c r="GB370" s="5"/>
      <c r="GC370" s="5"/>
      <c r="GD370" s="5"/>
      <c r="GE370" s="5"/>
      <c r="GF370" s="5"/>
      <c r="GG370" s="5"/>
      <c r="GH370" s="5"/>
      <c r="GI370" s="5"/>
      <c r="GJ370" s="5"/>
      <c r="GK370" s="5"/>
      <c r="GL370" s="5"/>
      <c r="GM370" s="5"/>
      <c r="GN370" s="5"/>
      <c r="GO370" s="5"/>
      <c r="GP370" s="5"/>
      <c r="GQ370" s="5"/>
      <c r="GR370" s="5"/>
      <c r="GS370" s="5"/>
      <c r="GT370" s="5"/>
      <c r="GU370" s="5"/>
      <c r="GV370" s="5"/>
      <c r="GW370" s="5"/>
      <c r="GX370" s="5"/>
      <c r="GY370" s="5"/>
      <c r="GZ370" s="5"/>
      <c r="HA370" s="5"/>
    </row>
    <row r="371" spans="1:209" s="6" customFormat="1">
      <c r="A371" s="46"/>
      <c r="B371" s="61"/>
      <c r="C371" s="37">
        <v>2028</v>
      </c>
      <c r="D371" s="14">
        <f>SUM(E371:I371)</f>
        <v>5307.2</v>
      </c>
      <c r="E371" s="14">
        <v>0</v>
      </c>
      <c r="F371" s="14">
        <v>0</v>
      </c>
      <c r="G371" s="14">
        <v>0</v>
      </c>
      <c r="H371" s="14">
        <v>5307.2</v>
      </c>
      <c r="I371" s="14">
        <v>0</v>
      </c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  <c r="GQ371" s="5"/>
      <c r="GR371" s="5"/>
      <c r="GS371" s="5"/>
      <c r="GT371" s="5"/>
      <c r="GU371" s="5"/>
      <c r="GV371" s="5"/>
      <c r="GW371" s="5"/>
      <c r="GX371" s="5"/>
      <c r="GY371" s="5"/>
      <c r="GZ371" s="5"/>
      <c r="HA371" s="5"/>
    </row>
    <row r="372" spans="1:209" s="6" customFormat="1">
      <c r="A372" s="47"/>
      <c r="B372" s="61"/>
      <c r="C372" s="37" t="s">
        <v>16</v>
      </c>
      <c r="D372" s="21">
        <f>SUM(D365:D371)</f>
        <v>50894.299999999996</v>
      </c>
      <c r="E372" s="21">
        <f t="shared" ref="E372:H372" si="155">SUM(E365:E371)</f>
        <v>0</v>
      </c>
      <c r="F372" s="21">
        <f t="shared" si="155"/>
        <v>0</v>
      </c>
      <c r="G372" s="21">
        <f t="shared" si="155"/>
        <v>0</v>
      </c>
      <c r="H372" s="21">
        <f t="shared" si="155"/>
        <v>50894.299999999996</v>
      </c>
      <c r="I372" s="21">
        <f>SUM(I365:I371)</f>
        <v>0</v>
      </c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  <c r="FO372" s="5"/>
      <c r="FP372" s="5"/>
      <c r="FQ372" s="5"/>
      <c r="FR372" s="5"/>
      <c r="FS372" s="5"/>
      <c r="FT372" s="5"/>
      <c r="FU372" s="5"/>
      <c r="FV372" s="5"/>
      <c r="FW372" s="5"/>
      <c r="FX372" s="5"/>
      <c r="FY372" s="5"/>
      <c r="FZ372" s="5"/>
      <c r="GA372" s="5"/>
      <c r="GB372" s="5"/>
      <c r="GC372" s="5"/>
      <c r="GD372" s="5"/>
      <c r="GE372" s="5"/>
      <c r="GF372" s="5"/>
      <c r="GG372" s="5"/>
      <c r="GH372" s="5"/>
      <c r="GI372" s="5"/>
      <c r="GJ372" s="5"/>
      <c r="GK372" s="5"/>
      <c r="GL372" s="5"/>
      <c r="GM372" s="5"/>
      <c r="GN372" s="5"/>
      <c r="GO372" s="5"/>
      <c r="GP372" s="5"/>
      <c r="GQ372" s="5"/>
      <c r="GR372" s="5"/>
      <c r="GS372" s="5"/>
      <c r="GT372" s="5"/>
      <c r="GU372" s="5"/>
      <c r="GV372" s="5"/>
      <c r="GW372" s="5"/>
      <c r="GX372" s="5"/>
      <c r="GY372" s="5"/>
      <c r="GZ372" s="5"/>
      <c r="HA372" s="5"/>
    </row>
    <row r="373" spans="1:209" s="6" customFormat="1" ht="18.75" customHeight="1">
      <c r="A373" s="45" t="s">
        <v>85</v>
      </c>
      <c r="B373" s="61"/>
      <c r="C373" s="37">
        <v>2022</v>
      </c>
      <c r="D373" s="21">
        <f>SUM(E373:I373)</f>
        <v>1198</v>
      </c>
      <c r="E373" s="14">
        <v>0</v>
      </c>
      <c r="F373" s="14">
        <v>0</v>
      </c>
      <c r="G373" s="14">
        <v>0</v>
      </c>
      <c r="H373" s="14">
        <v>1198</v>
      </c>
      <c r="I373" s="14">
        <v>0</v>
      </c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  <c r="FL373" s="5"/>
      <c r="FM373" s="5"/>
      <c r="FN373" s="5"/>
      <c r="FO373" s="5"/>
      <c r="FP373" s="5"/>
      <c r="FQ373" s="5"/>
      <c r="FR373" s="5"/>
      <c r="FS373" s="5"/>
      <c r="FT373" s="5"/>
      <c r="FU373" s="5"/>
      <c r="FV373" s="5"/>
      <c r="FW373" s="5"/>
      <c r="FX373" s="5"/>
      <c r="FY373" s="5"/>
      <c r="FZ373" s="5"/>
      <c r="GA373" s="5"/>
      <c r="GB373" s="5"/>
      <c r="GC373" s="5"/>
      <c r="GD373" s="5"/>
      <c r="GE373" s="5"/>
      <c r="GF373" s="5"/>
      <c r="GG373" s="5"/>
      <c r="GH373" s="5"/>
      <c r="GI373" s="5"/>
      <c r="GJ373" s="5"/>
      <c r="GK373" s="5"/>
      <c r="GL373" s="5"/>
      <c r="GM373" s="5"/>
      <c r="GN373" s="5"/>
      <c r="GO373" s="5"/>
      <c r="GP373" s="5"/>
      <c r="GQ373" s="5"/>
      <c r="GR373" s="5"/>
      <c r="GS373" s="5"/>
      <c r="GT373" s="5"/>
      <c r="GU373" s="5"/>
      <c r="GV373" s="5"/>
      <c r="GW373" s="5"/>
      <c r="GX373" s="5"/>
      <c r="GY373" s="5"/>
      <c r="GZ373" s="5"/>
      <c r="HA373" s="5"/>
    </row>
    <row r="374" spans="1:209" s="6" customFormat="1">
      <c r="A374" s="46"/>
      <c r="B374" s="61"/>
      <c r="C374" s="37">
        <v>2023</v>
      </c>
      <c r="D374" s="21">
        <f>SUM(E374:I374)</f>
        <v>658.1</v>
      </c>
      <c r="E374" s="14">
        <v>0</v>
      </c>
      <c r="F374" s="14">
        <v>0</v>
      </c>
      <c r="G374" s="14">
        <v>0</v>
      </c>
      <c r="H374" s="14">
        <v>658.1</v>
      </c>
      <c r="I374" s="14">
        <v>0</v>
      </c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  <c r="FH374" s="5"/>
      <c r="FI374" s="5"/>
      <c r="FJ374" s="5"/>
      <c r="FK374" s="5"/>
      <c r="FL374" s="5"/>
      <c r="FM374" s="5"/>
      <c r="FN374" s="5"/>
      <c r="FO374" s="5"/>
      <c r="FP374" s="5"/>
      <c r="FQ374" s="5"/>
      <c r="FR374" s="5"/>
      <c r="FS374" s="5"/>
      <c r="FT374" s="5"/>
      <c r="FU374" s="5"/>
      <c r="FV374" s="5"/>
      <c r="FW374" s="5"/>
      <c r="FX374" s="5"/>
      <c r="FY374" s="5"/>
      <c r="FZ374" s="5"/>
      <c r="GA374" s="5"/>
      <c r="GB374" s="5"/>
      <c r="GC374" s="5"/>
      <c r="GD374" s="5"/>
      <c r="GE374" s="5"/>
      <c r="GF374" s="5"/>
      <c r="GG374" s="5"/>
      <c r="GH374" s="5"/>
      <c r="GI374" s="5"/>
      <c r="GJ374" s="5"/>
      <c r="GK374" s="5"/>
      <c r="GL374" s="5"/>
      <c r="GM374" s="5"/>
      <c r="GN374" s="5"/>
      <c r="GO374" s="5"/>
      <c r="GP374" s="5"/>
      <c r="GQ374" s="5"/>
      <c r="GR374" s="5"/>
      <c r="GS374" s="5"/>
      <c r="GT374" s="5"/>
      <c r="GU374" s="5"/>
      <c r="GV374" s="5"/>
      <c r="GW374" s="5"/>
      <c r="GX374" s="5"/>
      <c r="GY374" s="5"/>
      <c r="GZ374" s="5"/>
      <c r="HA374" s="5"/>
    </row>
    <row r="375" spans="1:209" s="6" customFormat="1">
      <c r="A375" s="46"/>
      <c r="B375" s="61"/>
      <c r="C375" s="37">
        <v>2024</v>
      </c>
      <c r="D375" s="21">
        <f>SUM(E375:I375)</f>
        <v>420</v>
      </c>
      <c r="E375" s="14">
        <v>0</v>
      </c>
      <c r="F375" s="14">
        <v>0</v>
      </c>
      <c r="G375" s="14">
        <v>0</v>
      </c>
      <c r="H375" s="14">
        <v>420</v>
      </c>
      <c r="I375" s="14">
        <v>0</v>
      </c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  <c r="FO375" s="5"/>
      <c r="FP375" s="5"/>
      <c r="FQ375" s="5"/>
      <c r="FR375" s="5"/>
      <c r="FS375" s="5"/>
      <c r="FT375" s="5"/>
      <c r="FU375" s="5"/>
      <c r="FV375" s="5"/>
      <c r="FW375" s="5"/>
      <c r="FX375" s="5"/>
      <c r="FY375" s="5"/>
      <c r="FZ375" s="5"/>
      <c r="GA375" s="5"/>
      <c r="GB375" s="5"/>
      <c r="GC375" s="5"/>
      <c r="GD375" s="5"/>
      <c r="GE375" s="5"/>
      <c r="GF375" s="5"/>
      <c r="GG375" s="5"/>
      <c r="GH375" s="5"/>
      <c r="GI375" s="5"/>
      <c r="GJ375" s="5"/>
      <c r="GK375" s="5"/>
      <c r="GL375" s="5"/>
      <c r="GM375" s="5"/>
      <c r="GN375" s="5"/>
      <c r="GO375" s="5"/>
      <c r="GP375" s="5"/>
      <c r="GQ375" s="5"/>
      <c r="GR375" s="5"/>
      <c r="GS375" s="5"/>
      <c r="GT375" s="5"/>
      <c r="GU375" s="5"/>
      <c r="GV375" s="5"/>
      <c r="GW375" s="5"/>
      <c r="GX375" s="5"/>
      <c r="GY375" s="5"/>
      <c r="GZ375" s="5"/>
      <c r="HA375" s="5"/>
    </row>
    <row r="376" spans="1:209" s="6" customFormat="1">
      <c r="A376" s="46"/>
      <c r="B376" s="61"/>
      <c r="C376" s="37">
        <v>2025</v>
      </c>
      <c r="D376" s="21">
        <f t="shared" ref="D376:D379" si="156">SUM(E376:I376)</f>
        <v>118.7</v>
      </c>
      <c r="E376" s="14">
        <v>0</v>
      </c>
      <c r="F376" s="14">
        <v>0</v>
      </c>
      <c r="G376" s="14">
        <v>0</v>
      </c>
      <c r="H376" s="14">
        <v>118.7</v>
      </c>
      <c r="I376" s="14">
        <v>0</v>
      </c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  <c r="FL376" s="5"/>
      <c r="FM376" s="5"/>
      <c r="FN376" s="5"/>
      <c r="FO376" s="5"/>
      <c r="FP376" s="5"/>
      <c r="FQ376" s="5"/>
      <c r="FR376" s="5"/>
      <c r="FS376" s="5"/>
      <c r="FT376" s="5"/>
      <c r="FU376" s="5"/>
      <c r="FV376" s="5"/>
      <c r="FW376" s="5"/>
      <c r="FX376" s="5"/>
      <c r="FY376" s="5"/>
      <c r="FZ376" s="5"/>
      <c r="GA376" s="5"/>
      <c r="GB376" s="5"/>
      <c r="GC376" s="5"/>
      <c r="GD376" s="5"/>
      <c r="GE376" s="5"/>
      <c r="GF376" s="5"/>
      <c r="GG376" s="5"/>
      <c r="GH376" s="5"/>
      <c r="GI376" s="5"/>
      <c r="GJ376" s="5"/>
      <c r="GK376" s="5"/>
      <c r="GL376" s="5"/>
      <c r="GM376" s="5"/>
      <c r="GN376" s="5"/>
      <c r="GO376" s="5"/>
      <c r="GP376" s="5"/>
      <c r="GQ376" s="5"/>
      <c r="GR376" s="5"/>
      <c r="GS376" s="5"/>
      <c r="GT376" s="5"/>
      <c r="GU376" s="5"/>
      <c r="GV376" s="5"/>
      <c r="GW376" s="5"/>
      <c r="GX376" s="5"/>
      <c r="GY376" s="5"/>
      <c r="GZ376" s="5"/>
      <c r="HA376" s="5"/>
    </row>
    <row r="377" spans="1:209" s="6" customFormat="1">
      <c r="A377" s="46"/>
      <c r="B377" s="61"/>
      <c r="C377" s="37">
        <v>2026</v>
      </c>
      <c r="D377" s="21">
        <f t="shared" si="156"/>
        <v>495</v>
      </c>
      <c r="E377" s="14">
        <v>0</v>
      </c>
      <c r="F377" s="14">
        <v>0</v>
      </c>
      <c r="G377" s="14">
        <v>0</v>
      </c>
      <c r="H377" s="14">
        <f>0+495</f>
        <v>495</v>
      </c>
      <c r="I377" s="14">
        <v>0</v>
      </c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  <c r="FO377" s="5"/>
      <c r="FP377" s="5"/>
      <c r="FQ377" s="5"/>
      <c r="FR377" s="5"/>
      <c r="FS377" s="5"/>
      <c r="FT377" s="5"/>
      <c r="FU377" s="5"/>
      <c r="FV377" s="5"/>
      <c r="FW377" s="5"/>
      <c r="FX377" s="5"/>
      <c r="FY377" s="5"/>
      <c r="FZ377" s="5"/>
      <c r="GA377" s="5"/>
      <c r="GB377" s="5"/>
      <c r="GC377" s="5"/>
      <c r="GD377" s="5"/>
      <c r="GE377" s="5"/>
      <c r="GF377" s="5"/>
      <c r="GG377" s="5"/>
      <c r="GH377" s="5"/>
      <c r="GI377" s="5"/>
      <c r="GJ377" s="5"/>
      <c r="GK377" s="5"/>
      <c r="GL377" s="5"/>
      <c r="GM377" s="5"/>
      <c r="GN377" s="5"/>
      <c r="GO377" s="5"/>
      <c r="GP377" s="5"/>
      <c r="GQ377" s="5"/>
      <c r="GR377" s="5"/>
      <c r="GS377" s="5"/>
      <c r="GT377" s="5"/>
      <c r="GU377" s="5"/>
      <c r="GV377" s="5"/>
      <c r="GW377" s="5"/>
      <c r="GX377" s="5"/>
      <c r="GY377" s="5"/>
      <c r="GZ377" s="5"/>
      <c r="HA377" s="5"/>
    </row>
    <row r="378" spans="1:209" s="6" customFormat="1">
      <c r="A378" s="46"/>
      <c r="B378" s="61"/>
      <c r="C378" s="37">
        <v>2027</v>
      </c>
      <c r="D378" s="21">
        <f t="shared" si="156"/>
        <v>3000.8</v>
      </c>
      <c r="E378" s="14">
        <v>0</v>
      </c>
      <c r="F378" s="14">
        <v>0</v>
      </c>
      <c r="G378" s="14">
        <v>0</v>
      </c>
      <c r="H378" s="14">
        <v>3000.8</v>
      </c>
      <c r="I378" s="14">
        <v>0</v>
      </c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  <c r="FH378" s="5"/>
      <c r="FI378" s="5"/>
      <c r="FJ378" s="5"/>
      <c r="FK378" s="5"/>
      <c r="FL378" s="5"/>
      <c r="FM378" s="5"/>
      <c r="FN378" s="5"/>
      <c r="FO378" s="5"/>
      <c r="FP378" s="5"/>
      <c r="FQ378" s="5"/>
      <c r="FR378" s="5"/>
      <c r="FS378" s="5"/>
      <c r="FT378" s="5"/>
      <c r="FU378" s="5"/>
      <c r="FV378" s="5"/>
      <c r="FW378" s="5"/>
      <c r="FX378" s="5"/>
      <c r="FY378" s="5"/>
      <c r="FZ378" s="5"/>
      <c r="GA378" s="5"/>
      <c r="GB378" s="5"/>
      <c r="GC378" s="5"/>
      <c r="GD378" s="5"/>
      <c r="GE378" s="5"/>
      <c r="GF378" s="5"/>
      <c r="GG378" s="5"/>
      <c r="GH378" s="5"/>
      <c r="GI378" s="5"/>
      <c r="GJ378" s="5"/>
      <c r="GK378" s="5"/>
      <c r="GL378" s="5"/>
      <c r="GM378" s="5"/>
      <c r="GN378" s="5"/>
      <c r="GO378" s="5"/>
      <c r="GP378" s="5"/>
      <c r="GQ378" s="5"/>
      <c r="GR378" s="5"/>
      <c r="GS378" s="5"/>
      <c r="GT378" s="5"/>
      <c r="GU378" s="5"/>
      <c r="GV378" s="5"/>
      <c r="GW378" s="5"/>
      <c r="GX378" s="5"/>
      <c r="GY378" s="5"/>
      <c r="GZ378" s="5"/>
      <c r="HA378" s="5"/>
    </row>
    <row r="379" spans="1:209" s="6" customFormat="1">
      <c r="A379" s="46"/>
      <c r="B379" s="61"/>
      <c r="C379" s="37">
        <v>2028</v>
      </c>
      <c r="D379" s="21">
        <f t="shared" si="156"/>
        <v>0</v>
      </c>
      <c r="E379" s="14">
        <v>0</v>
      </c>
      <c r="F379" s="14">
        <v>0</v>
      </c>
      <c r="G379" s="14">
        <v>0</v>
      </c>
      <c r="H379" s="14">
        <v>0</v>
      </c>
      <c r="I379" s="14">
        <v>0</v>
      </c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  <c r="FL379" s="5"/>
      <c r="FM379" s="5"/>
      <c r="FN379" s="5"/>
      <c r="FO379" s="5"/>
      <c r="FP379" s="5"/>
      <c r="FQ379" s="5"/>
      <c r="FR379" s="5"/>
      <c r="FS379" s="5"/>
      <c r="FT379" s="5"/>
      <c r="FU379" s="5"/>
      <c r="FV379" s="5"/>
      <c r="FW379" s="5"/>
      <c r="FX379" s="5"/>
      <c r="FY379" s="5"/>
      <c r="FZ379" s="5"/>
      <c r="GA379" s="5"/>
      <c r="GB379" s="5"/>
      <c r="GC379" s="5"/>
      <c r="GD379" s="5"/>
      <c r="GE379" s="5"/>
      <c r="GF379" s="5"/>
      <c r="GG379" s="5"/>
      <c r="GH379" s="5"/>
      <c r="GI379" s="5"/>
      <c r="GJ379" s="5"/>
      <c r="GK379" s="5"/>
      <c r="GL379" s="5"/>
      <c r="GM379" s="5"/>
      <c r="GN379" s="5"/>
      <c r="GO379" s="5"/>
      <c r="GP379" s="5"/>
      <c r="GQ379" s="5"/>
      <c r="GR379" s="5"/>
      <c r="GS379" s="5"/>
      <c r="GT379" s="5"/>
      <c r="GU379" s="5"/>
      <c r="GV379" s="5"/>
      <c r="GW379" s="5"/>
      <c r="GX379" s="5"/>
      <c r="GY379" s="5"/>
      <c r="GZ379" s="5"/>
      <c r="HA379" s="5"/>
    </row>
    <row r="380" spans="1:209" s="6" customFormat="1">
      <c r="A380" s="47"/>
      <c r="B380" s="61"/>
      <c r="C380" s="37" t="s">
        <v>16</v>
      </c>
      <c r="D380" s="21">
        <f t="shared" ref="D380:H380" si="157">SUM(D373:D379)</f>
        <v>5890.6</v>
      </c>
      <c r="E380" s="21">
        <f t="shared" si="157"/>
        <v>0</v>
      </c>
      <c r="F380" s="21">
        <f t="shared" si="157"/>
        <v>0</v>
      </c>
      <c r="G380" s="21">
        <f t="shared" si="157"/>
        <v>0</v>
      </c>
      <c r="H380" s="21">
        <f t="shared" si="157"/>
        <v>5890.6</v>
      </c>
      <c r="I380" s="21">
        <f>SUM(I373:I379)</f>
        <v>0</v>
      </c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  <c r="FO380" s="5"/>
      <c r="FP380" s="5"/>
      <c r="FQ380" s="5"/>
      <c r="FR380" s="5"/>
      <c r="FS380" s="5"/>
      <c r="FT380" s="5"/>
      <c r="FU380" s="5"/>
      <c r="FV380" s="5"/>
      <c r="FW380" s="5"/>
      <c r="FX380" s="5"/>
      <c r="FY380" s="5"/>
      <c r="FZ380" s="5"/>
      <c r="GA380" s="5"/>
      <c r="GB380" s="5"/>
      <c r="GC380" s="5"/>
      <c r="GD380" s="5"/>
      <c r="GE380" s="5"/>
      <c r="GF380" s="5"/>
      <c r="GG380" s="5"/>
      <c r="GH380" s="5"/>
      <c r="GI380" s="5"/>
      <c r="GJ380" s="5"/>
      <c r="GK380" s="5"/>
      <c r="GL380" s="5"/>
      <c r="GM380" s="5"/>
      <c r="GN380" s="5"/>
      <c r="GO380" s="5"/>
      <c r="GP380" s="5"/>
      <c r="GQ380" s="5"/>
      <c r="GR380" s="5"/>
      <c r="GS380" s="5"/>
      <c r="GT380" s="5"/>
      <c r="GU380" s="5"/>
      <c r="GV380" s="5"/>
      <c r="GW380" s="5"/>
      <c r="GX380" s="5"/>
      <c r="GY380" s="5"/>
      <c r="GZ380" s="5"/>
      <c r="HA380" s="5"/>
    </row>
    <row r="381" spans="1:209" s="6" customFormat="1" ht="18" customHeight="1">
      <c r="A381" s="45" t="s">
        <v>52</v>
      </c>
      <c r="B381" s="48"/>
      <c r="C381" s="37">
        <v>2024</v>
      </c>
      <c r="D381" s="14">
        <f>SUM(E381:I381)</f>
        <v>121</v>
      </c>
      <c r="E381" s="14">
        <v>0</v>
      </c>
      <c r="F381" s="14">
        <v>0</v>
      </c>
      <c r="G381" s="14">
        <v>0</v>
      </c>
      <c r="H381" s="14">
        <v>121</v>
      </c>
      <c r="I381" s="14">
        <v>0</v>
      </c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/>
      <c r="FR381" s="5"/>
      <c r="FS381" s="5"/>
      <c r="FT381" s="5"/>
      <c r="FU381" s="5"/>
      <c r="FV381" s="5"/>
      <c r="FW381" s="5"/>
      <c r="FX381" s="5"/>
      <c r="FY381" s="5"/>
      <c r="FZ381" s="5"/>
      <c r="GA381" s="5"/>
      <c r="GB381" s="5"/>
      <c r="GC381" s="5"/>
      <c r="GD381" s="5"/>
      <c r="GE381" s="5"/>
      <c r="GF381" s="5"/>
      <c r="GG381" s="5"/>
      <c r="GH381" s="5"/>
      <c r="GI381" s="5"/>
      <c r="GJ381" s="5"/>
      <c r="GK381" s="5"/>
      <c r="GL381" s="5"/>
      <c r="GM381" s="5"/>
      <c r="GN381" s="5"/>
      <c r="GO381" s="5"/>
      <c r="GP381" s="5"/>
      <c r="GQ381" s="5"/>
      <c r="GR381" s="5"/>
      <c r="GS381" s="5"/>
      <c r="GT381" s="5"/>
      <c r="GU381" s="5"/>
      <c r="GV381" s="5"/>
      <c r="GW381" s="5"/>
      <c r="GX381" s="5"/>
      <c r="GY381" s="5"/>
      <c r="GZ381" s="5"/>
      <c r="HA381" s="5"/>
    </row>
    <row r="382" spans="1:209" s="6" customFormat="1" ht="23.25" customHeight="1">
      <c r="A382" s="47"/>
      <c r="B382" s="50"/>
      <c r="C382" s="37" t="s">
        <v>16</v>
      </c>
      <c r="D382" s="14">
        <f t="shared" ref="D382:I382" si="158">SUM(D381:D381)</f>
        <v>121</v>
      </c>
      <c r="E382" s="14">
        <f t="shared" si="158"/>
        <v>0</v>
      </c>
      <c r="F382" s="14">
        <f t="shared" si="158"/>
        <v>0</v>
      </c>
      <c r="G382" s="14">
        <f t="shared" si="158"/>
        <v>0</v>
      </c>
      <c r="H382" s="14">
        <f t="shared" si="158"/>
        <v>121</v>
      </c>
      <c r="I382" s="14">
        <f t="shared" si="158"/>
        <v>0</v>
      </c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  <c r="FH382" s="5"/>
      <c r="FI382" s="5"/>
      <c r="FJ382" s="5"/>
      <c r="FK382" s="5"/>
      <c r="FL382" s="5"/>
      <c r="FM382" s="5"/>
      <c r="FN382" s="5"/>
      <c r="FO382" s="5"/>
      <c r="FP382" s="5"/>
      <c r="FQ382" s="5"/>
      <c r="FR382" s="5"/>
      <c r="FS382" s="5"/>
      <c r="FT382" s="5"/>
      <c r="FU382" s="5"/>
      <c r="FV382" s="5"/>
      <c r="FW382" s="5"/>
      <c r="FX382" s="5"/>
      <c r="FY382" s="5"/>
      <c r="FZ382" s="5"/>
      <c r="GA382" s="5"/>
      <c r="GB382" s="5"/>
      <c r="GC382" s="5"/>
      <c r="GD382" s="5"/>
      <c r="GE382" s="5"/>
      <c r="GF382" s="5"/>
      <c r="GG382" s="5"/>
      <c r="GH382" s="5"/>
      <c r="GI382" s="5"/>
      <c r="GJ382" s="5"/>
      <c r="GK382" s="5"/>
      <c r="GL382" s="5"/>
      <c r="GM382" s="5"/>
      <c r="GN382" s="5"/>
      <c r="GO382" s="5"/>
      <c r="GP382" s="5"/>
      <c r="GQ382" s="5"/>
      <c r="GR382" s="5"/>
      <c r="GS382" s="5"/>
      <c r="GT382" s="5"/>
      <c r="GU382" s="5"/>
      <c r="GV382" s="5"/>
      <c r="GW382" s="5"/>
      <c r="GX382" s="5"/>
      <c r="GY382" s="5"/>
      <c r="GZ382" s="5"/>
      <c r="HA382" s="5"/>
    </row>
    <row r="383" spans="1:209" s="6" customFormat="1" ht="23.25" customHeight="1">
      <c r="A383" s="45" t="s">
        <v>0</v>
      </c>
      <c r="B383" s="48"/>
      <c r="C383" s="37">
        <v>2024</v>
      </c>
      <c r="D383" s="14">
        <f>SUM(E383:I383)</f>
        <v>79.099999999999994</v>
      </c>
      <c r="E383" s="14">
        <v>0</v>
      </c>
      <c r="F383" s="14">
        <v>0</v>
      </c>
      <c r="G383" s="14">
        <v>0</v>
      </c>
      <c r="H383" s="14">
        <v>79.099999999999994</v>
      </c>
      <c r="I383" s="14">
        <v>0</v>
      </c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  <c r="FS383" s="5"/>
      <c r="FT383" s="5"/>
      <c r="FU383" s="5"/>
      <c r="FV383" s="5"/>
      <c r="FW383" s="5"/>
      <c r="FX383" s="5"/>
      <c r="FY383" s="5"/>
      <c r="FZ383" s="5"/>
      <c r="GA383" s="5"/>
      <c r="GB383" s="5"/>
      <c r="GC383" s="5"/>
      <c r="GD383" s="5"/>
      <c r="GE383" s="5"/>
      <c r="GF383" s="5"/>
      <c r="GG383" s="5"/>
      <c r="GH383" s="5"/>
      <c r="GI383" s="5"/>
      <c r="GJ383" s="5"/>
      <c r="GK383" s="5"/>
      <c r="GL383" s="5"/>
      <c r="GM383" s="5"/>
      <c r="GN383" s="5"/>
      <c r="GO383" s="5"/>
      <c r="GP383" s="5"/>
      <c r="GQ383" s="5"/>
      <c r="GR383" s="5"/>
      <c r="GS383" s="5"/>
      <c r="GT383" s="5"/>
      <c r="GU383" s="5"/>
      <c r="GV383" s="5"/>
      <c r="GW383" s="5"/>
      <c r="GX383" s="5"/>
      <c r="GY383" s="5"/>
      <c r="GZ383" s="5"/>
      <c r="HA383" s="5"/>
    </row>
    <row r="384" spans="1:209" s="6" customFormat="1" ht="29.25" customHeight="1">
      <c r="A384" s="47"/>
      <c r="B384" s="50"/>
      <c r="C384" s="37" t="s">
        <v>16</v>
      </c>
      <c r="D384" s="14">
        <f t="shared" ref="D384:I384" si="159">SUM(D383:D383)</f>
        <v>79.099999999999994</v>
      </c>
      <c r="E384" s="14">
        <f t="shared" si="159"/>
        <v>0</v>
      </c>
      <c r="F384" s="14">
        <f t="shared" si="159"/>
        <v>0</v>
      </c>
      <c r="G384" s="14">
        <f t="shared" si="159"/>
        <v>0</v>
      </c>
      <c r="H384" s="14">
        <f t="shared" si="159"/>
        <v>79.099999999999994</v>
      </c>
      <c r="I384" s="14">
        <f t="shared" si="159"/>
        <v>0</v>
      </c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  <c r="FH384" s="5"/>
      <c r="FI384" s="5"/>
      <c r="FJ384" s="5"/>
      <c r="FK384" s="5"/>
      <c r="FL384" s="5"/>
      <c r="FM384" s="5"/>
      <c r="FN384" s="5"/>
      <c r="FO384" s="5"/>
      <c r="FP384" s="5"/>
      <c r="FQ384" s="5"/>
      <c r="FR384" s="5"/>
      <c r="FS384" s="5"/>
      <c r="FT384" s="5"/>
      <c r="FU384" s="5"/>
      <c r="FV384" s="5"/>
      <c r="FW384" s="5"/>
      <c r="FX384" s="5"/>
      <c r="FY384" s="5"/>
      <c r="FZ384" s="5"/>
      <c r="GA384" s="5"/>
      <c r="GB384" s="5"/>
      <c r="GC384" s="5"/>
      <c r="GD384" s="5"/>
      <c r="GE384" s="5"/>
      <c r="GF384" s="5"/>
      <c r="GG384" s="5"/>
      <c r="GH384" s="5"/>
      <c r="GI384" s="5"/>
      <c r="GJ384" s="5"/>
      <c r="GK384" s="5"/>
      <c r="GL384" s="5"/>
      <c r="GM384" s="5"/>
      <c r="GN384" s="5"/>
      <c r="GO384" s="5"/>
      <c r="GP384" s="5"/>
      <c r="GQ384" s="5"/>
      <c r="GR384" s="5"/>
      <c r="GS384" s="5"/>
      <c r="GT384" s="5"/>
      <c r="GU384" s="5"/>
      <c r="GV384" s="5"/>
      <c r="GW384" s="5"/>
      <c r="GX384" s="5"/>
      <c r="GY384" s="5"/>
      <c r="GZ384" s="5"/>
      <c r="HA384" s="5"/>
    </row>
    <row r="385" spans="1:209" s="6" customFormat="1" ht="18" customHeight="1">
      <c r="A385" s="45" t="s">
        <v>41</v>
      </c>
      <c r="B385" s="49"/>
      <c r="C385" s="37">
        <v>2025</v>
      </c>
      <c r="D385" s="14">
        <f>SUM(E385:I385)</f>
        <v>41856.1</v>
      </c>
      <c r="E385" s="14">
        <v>0</v>
      </c>
      <c r="F385" s="14">
        <v>0</v>
      </c>
      <c r="G385" s="14">
        <v>38507.5</v>
      </c>
      <c r="H385" s="14">
        <f>3348.5+0.1</f>
        <v>3348.6</v>
      </c>
      <c r="I385" s="14">
        <v>0</v>
      </c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/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/>
      <c r="GV385" s="5"/>
      <c r="GW385" s="5"/>
      <c r="GX385" s="5"/>
      <c r="GY385" s="5"/>
      <c r="GZ385" s="5"/>
      <c r="HA385" s="5"/>
    </row>
    <row r="386" spans="1:209" s="6" customFormat="1" ht="18" customHeight="1">
      <c r="A386" s="46"/>
      <c r="B386" s="49"/>
      <c r="C386" s="37">
        <v>2026</v>
      </c>
      <c r="D386" s="14">
        <f>SUM(E386:I386)</f>
        <v>33017.299999999996</v>
      </c>
      <c r="E386" s="14">
        <v>0</v>
      </c>
      <c r="F386" s="14">
        <v>0</v>
      </c>
      <c r="G386" s="14">
        <f>6061.1+23984.6</f>
        <v>30045.699999999997</v>
      </c>
      <c r="H386" s="14">
        <f>599.5+2108.6+263.5</f>
        <v>2971.6</v>
      </c>
      <c r="I386" s="14">
        <v>0</v>
      </c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  <c r="FO386" s="5"/>
      <c r="FP386" s="5"/>
      <c r="FQ386" s="5"/>
      <c r="FR386" s="5"/>
      <c r="FS386" s="5"/>
      <c r="FT386" s="5"/>
      <c r="FU386" s="5"/>
      <c r="FV386" s="5"/>
      <c r="FW386" s="5"/>
      <c r="FX386" s="5"/>
      <c r="FY386" s="5"/>
      <c r="FZ386" s="5"/>
      <c r="GA386" s="5"/>
      <c r="GB386" s="5"/>
      <c r="GC386" s="5"/>
      <c r="GD386" s="5"/>
      <c r="GE386" s="5"/>
      <c r="GF386" s="5"/>
      <c r="GG386" s="5"/>
      <c r="GH386" s="5"/>
      <c r="GI386" s="5"/>
      <c r="GJ386" s="5"/>
      <c r="GK386" s="5"/>
      <c r="GL386" s="5"/>
      <c r="GM386" s="5"/>
      <c r="GN386" s="5"/>
      <c r="GO386" s="5"/>
      <c r="GP386" s="5"/>
      <c r="GQ386" s="5"/>
      <c r="GR386" s="5"/>
      <c r="GS386" s="5"/>
      <c r="GT386" s="5"/>
      <c r="GU386" s="5"/>
      <c r="GV386" s="5"/>
      <c r="GW386" s="5"/>
      <c r="GX386" s="5"/>
      <c r="GY386" s="5"/>
      <c r="GZ386" s="5"/>
      <c r="HA386" s="5"/>
    </row>
    <row r="387" spans="1:209" s="6" customFormat="1" ht="18" customHeight="1">
      <c r="A387" s="47"/>
      <c r="B387" s="50"/>
      <c r="C387" s="37" t="s">
        <v>16</v>
      </c>
      <c r="D387" s="14">
        <f t="shared" ref="D387:I387" si="160">SUM(D385:D386)</f>
        <v>74873.399999999994</v>
      </c>
      <c r="E387" s="14">
        <f t="shared" si="160"/>
        <v>0</v>
      </c>
      <c r="F387" s="14">
        <f t="shared" si="160"/>
        <v>0</v>
      </c>
      <c r="G387" s="14">
        <f t="shared" si="160"/>
        <v>68553.2</v>
      </c>
      <c r="H387" s="14">
        <f t="shared" si="160"/>
        <v>6320.2</v>
      </c>
      <c r="I387" s="14">
        <f t="shared" si="160"/>
        <v>0</v>
      </c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/>
      <c r="FS387" s="5"/>
      <c r="FT387" s="5"/>
      <c r="FU387" s="5"/>
      <c r="FV387" s="5"/>
      <c r="FW387" s="5"/>
      <c r="FX387" s="5"/>
      <c r="FY387" s="5"/>
      <c r="FZ387" s="5"/>
      <c r="GA387" s="5"/>
      <c r="GB387" s="5"/>
      <c r="GC387" s="5"/>
      <c r="GD387" s="5"/>
      <c r="GE387" s="5"/>
      <c r="GF387" s="5"/>
      <c r="GG387" s="5"/>
      <c r="GH387" s="5"/>
      <c r="GI387" s="5"/>
      <c r="GJ387" s="5"/>
      <c r="GK387" s="5"/>
      <c r="GL387" s="5"/>
      <c r="GM387" s="5"/>
      <c r="GN387" s="5"/>
      <c r="GO387" s="5"/>
      <c r="GP387" s="5"/>
      <c r="GQ387" s="5"/>
      <c r="GR387" s="5"/>
      <c r="GS387" s="5"/>
      <c r="GT387" s="5"/>
      <c r="GU387" s="5"/>
      <c r="GV387" s="5"/>
      <c r="GW387" s="5"/>
      <c r="GX387" s="5"/>
      <c r="GY387" s="5"/>
      <c r="GZ387" s="5"/>
      <c r="HA387" s="5"/>
    </row>
    <row r="388" spans="1:209" s="6" customFormat="1" ht="27.75" customHeight="1">
      <c r="A388" s="45" t="s">
        <v>84</v>
      </c>
      <c r="B388" s="49"/>
      <c r="C388" s="37">
        <v>2025</v>
      </c>
      <c r="D388" s="14">
        <f>SUM(E388:I388)</f>
        <v>1700</v>
      </c>
      <c r="E388" s="14">
        <v>0</v>
      </c>
      <c r="F388" s="14">
        <v>0</v>
      </c>
      <c r="G388" s="14">
        <f>3477.6-901.6-1012</f>
        <v>1564</v>
      </c>
      <c r="H388" s="14">
        <f>302.4-78.4-88</f>
        <v>135.99999999999997</v>
      </c>
      <c r="I388" s="14">
        <v>0</v>
      </c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  <c r="FH388" s="5"/>
      <c r="FI388" s="5"/>
      <c r="FJ388" s="5"/>
      <c r="FK388" s="5"/>
      <c r="FL388" s="5"/>
      <c r="FM388" s="5"/>
      <c r="FN388" s="5"/>
      <c r="FO388" s="5"/>
      <c r="FP388" s="5"/>
      <c r="FQ388" s="5"/>
      <c r="FR388" s="5"/>
      <c r="FS388" s="5"/>
      <c r="FT388" s="5"/>
      <c r="FU388" s="5"/>
      <c r="FV388" s="5"/>
      <c r="FW388" s="5"/>
      <c r="FX388" s="5"/>
      <c r="FY388" s="5"/>
      <c r="FZ388" s="5"/>
      <c r="GA388" s="5"/>
      <c r="GB388" s="5"/>
      <c r="GC388" s="5"/>
      <c r="GD388" s="5"/>
      <c r="GE388" s="5"/>
      <c r="GF388" s="5"/>
      <c r="GG388" s="5"/>
      <c r="GH388" s="5"/>
      <c r="GI388" s="5"/>
      <c r="GJ388" s="5"/>
      <c r="GK388" s="5"/>
      <c r="GL388" s="5"/>
      <c r="GM388" s="5"/>
      <c r="GN388" s="5"/>
      <c r="GO388" s="5"/>
      <c r="GP388" s="5"/>
      <c r="GQ388" s="5"/>
      <c r="GR388" s="5"/>
      <c r="GS388" s="5"/>
      <c r="GT388" s="5"/>
      <c r="GU388" s="5"/>
      <c r="GV388" s="5"/>
      <c r="GW388" s="5"/>
      <c r="GX388" s="5"/>
      <c r="GY388" s="5"/>
      <c r="GZ388" s="5"/>
      <c r="HA388" s="5"/>
    </row>
    <row r="389" spans="1:209" s="6" customFormat="1" ht="30.75" customHeight="1">
      <c r="A389" s="47"/>
      <c r="B389" s="50"/>
      <c r="C389" s="37" t="s">
        <v>16</v>
      </c>
      <c r="D389" s="14">
        <f t="shared" ref="D389:I389" si="161">SUM(D388:D388)</f>
        <v>1700</v>
      </c>
      <c r="E389" s="14">
        <f t="shared" si="161"/>
        <v>0</v>
      </c>
      <c r="F389" s="14">
        <f t="shared" si="161"/>
        <v>0</v>
      </c>
      <c r="G389" s="14">
        <f t="shared" si="161"/>
        <v>1564</v>
      </c>
      <c r="H389" s="14">
        <f t="shared" si="161"/>
        <v>135.99999999999997</v>
      </c>
      <c r="I389" s="14">
        <f t="shared" si="161"/>
        <v>0</v>
      </c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  <c r="GW389" s="5"/>
      <c r="GX389" s="5"/>
      <c r="GY389" s="5"/>
      <c r="GZ389" s="5"/>
      <c r="HA389" s="5"/>
    </row>
    <row r="390" spans="1:209" s="6" customFormat="1">
      <c r="A390" s="38" t="s">
        <v>76</v>
      </c>
      <c r="B390" s="16"/>
      <c r="C390" s="17"/>
      <c r="D390" s="18"/>
      <c r="E390" s="19"/>
      <c r="F390" s="19"/>
      <c r="G390" s="19"/>
      <c r="H390" s="19"/>
      <c r="I390" s="20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  <c r="GM390" s="5"/>
      <c r="GN390" s="5"/>
      <c r="GO390" s="5"/>
      <c r="GP390" s="5"/>
      <c r="GQ390" s="5"/>
      <c r="GR390" s="5"/>
      <c r="GS390" s="5"/>
      <c r="GT390" s="5"/>
      <c r="GU390" s="5"/>
      <c r="GV390" s="5"/>
      <c r="GW390" s="5"/>
      <c r="GX390" s="5"/>
      <c r="GY390" s="5"/>
      <c r="GZ390" s="5"/>
      <c r="HA390" s="5"/>
    </row>
    <row r="391" spans="1:209" s="6" customFormat="1">
      <c r="A391" s="51" t="s">
        <v>16</v>
      </c>
      <c r="B391" s="44"/>
      <c r="C391" s="36">
        <v>2022</v>
      </c>
      <c r="D391" s="15">
        <f>SUM(E391:I391)</f>
        <v>995.7</v>
      </c>
      <c r="E391" s="15">
        <f t="shared" ref="E391:I392" si="162">E396+E399+E404+E407</f>
        <v>0</v>
      </c>
      <c r="F391" s="15">
        <f t="shared" si="162"/>
        <v>0</v>
      </c>
      <c r="G391" s="15">
        <f t="shared" si="162"/>
        <v>995.7</v>
      </c>
      <c r="H391" s="15">
        <f t="shared" si="162"/>
        <v>0</v>
      </c>
      <c r="I391" s="15">
        <f t="shared" si="162"/>
        <v>0</v>
      </c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/>
      <c r="GN391" s="5"/>
      <c r="GO391" s="5"/>
      <c r="GP391" s="5"/>
      <c r="GQ391" s="5"/>
      <c r="GR391" s="5"/>
      <c r="GS391" s="5"/>
      <c r="GT391" s="5"/>
      <c r="GU391" s="5"/>
      <c r="GV391" s="5"/>
      <c r="GW391" s="5"/>
      <c r="GX391" s="5"/>
      <c r="GY391" s="5"/>
      <c r="GZ391" s="5"/>
      <c r="HA391" s="5"/>
    </row>
    <row r="392" spans="1:209" s="6" customFormat="1">
      <c r="A392" s="52"/>
      <c r="B392" s="44"/>
      <c r="C392" s="36">
        <v>2023</v>
      </c>
      <c r="D392" s="15">
        <f t="shared" ref="D392:D393" si="163">SUM(E392:I392)</f>
        <v>1694.8</v>
      </c>
      <c r="E392" s="15">
        <f t="shared" si="162"/>
        <v>0</v>
      </c>
      <c r="F392" s="15">
        <f t="shared" si="162"/>
        <v>0</v>
      </c>
      <c r="G392" s="15">
        <f t="shared" si="162"/>
        <v>0</v>
      </c>
      <c r="H392" s="15">
        <f t="shared" si="162"/>
        <v>1694.8</v>
      </c>
      <c r="I392" s="15">
        <f t="shared" si="162"/>
        <v>0</v>
      </c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  <c r="GM392" s="5"/>
      <c r="GN392" s="5"/>
      <c r="GO392" s="5"/>
      <c r="GP392" s="5"/>
      <c r="GQ392" s="5"/>
      <c r="GR392" s="5"/>
      <c r="GS392" s="5"/>
      <c r="GT392" s="5"/>
      <c r="GU392" s="5"/>
      <c r="GV392" s="5"/>
      <c r="GW392" s="5"/>
      <c r="GX392" s="5"/>
      <c r="GY392" s="5"/>
      <c r="GZ392" s="5"/>
      <c r="HA392" s="5"/>
    </row>
    <row r="393" spans="1:209" s="6" customFormat="1">
      <c r="A393" s="52"/>
      <c r="B393" s="44"/>
      <c r="C393" s="36">
        <v>2025</v>
      </c>
      <c r="D393" s="15">
        <f t="shared" si="163"/>
        <v>830.7</v>
      </c>
      <c r="E393" s="15">
        <f t="shared" ref="E393:G393" si="164">E401</f>
        <v>0</v>
      </c>
      <c r="F393" s="15">
        <f t="shared" si="164"/>
        <v>0</v>
      </c>
      <c r="G393" s="15">
        <f t="shared" si="164"/>
        <v>0</v>
      </c>
      <c r="H393" s="15">
        <f>H401</f>
        <v>830.7</v>
      </c>
      <c r="I393" s="15">
        <f>I401</f>
        <v>0</v>
      </c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  <c r="GM393" s="5"/>
      <c r="GN393" s="5"/>
      <c r="GO393" s="5"/>
      <c r="GP393" s="5"/>
      <c r="GQ393" s="5"/>
      <c r="GR393" s="5"/>
      <c r="GS393" s="5"/>
      <c r="GT393" s="5"/>
      <c r="GU393" s="5"/>
      <c r="GV393" s="5"/>
      <c r="GW393" s="5"/>
      <c r="GX393" s="5"/>
      <c r="GY393" s="5"/>
      <c r="GZ393" s="5"/>
      <c r="HA393" s="5"/>
    </row>
    <row r="394" spans="1:209" s="6" customFormat="1">
      <c r="A394" s="52"/>
      <c r="B394" s="44"/>
      <c r="C394" s="36">
        <v>2026</v>
      </c>
      <c r="D394" s="15">
        <f t="shared" ref="D394:H394" si="165">D402</f>
        <v>385</v>
      </c>
      <c r="E394" s="15">
        <f t="shared" si="165"/>
        <v>0</v>
      </c>
      <c r="F394" s="15">
        <f t="shared" si="165"/>
        <v>0</v>
      </c>
      <c r="G394" s="15">
        <f t="shared" si="165"/>
        <v>0</v>
      </c>
      <c r="H394" s="15">
        <f t="shared" si="165"/>
        <v>385</v>
      </c>
      <c r="I394" s="15">
        <f>I402</f>
        <v>0</v>
      </c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  <c r="GM394" s="5"/>
      <c r="GN394" s="5"/>
      <c r="GO394" s="5"/>
      <c r="GP394" s="5"/>
      <c r="GQ394" s="5"/>
      <c r="GR394" s="5"/>
      <c r="GS394" s="5"/>
      <c r="GT394" s="5"/>
      <c r="GU394" s="5"/>
      <c r="GV394" s="5"/>
      <c r="GW394" s="5"/>
      <c r="GX394" s="5"/>
      <c r="GY394" s="5"/>
      <c r="GZ394" s="5"/>
      <c r="HA394" s="5"/>
    </row>
    <row r="395" spans="1:209" s="6" customFormat="1">
      <c r="A395" s="53"/>
      <c r="B395" s="44"/>
      <c r="C395" s="36" t="s">
        <v>16</v>
      </c>
      <c r="D395" s="15">
        <f t="shared" ref="D395:H395" si="166">SUM(D391:D394)</f>
        <v>3906.2</v>
      </c>
      <c r="E395" s="15">
        <f t="shared" si="166"/>
        <v>0</v>
      </c>
      <c r="F395" s="15">
        <f t="shared" si="166"/>
        <v>0</v>
      </c>
      <c r="G395" s="15">
        <f t="shared" si="166"/>
        <v>995.7</v>
      </c>
      <c r="H395" s="15">
        <f t="shared" si="166"/>
        <v>2910.5</v>
      </c>
      <c r="I395" s="15">
        <f>SUM(I391:I394)</f>
        <v>0</v>
      </c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  <c r="GM395" s="5"/>
      <c r="GN395" s="5"/>
      <c r="GO395" s="5"/>
      <c r="GP395" s="5"/>
      <c r="GQ395" s="5"/>
      <c r="GR395" s="5"/>
      <c r="GS395" s="5"/>
      <c r="GT395" s="5"/>
      <c r="GU395" s="5"/>
      <c r="GV395" s="5"/>
      <c r="GW395" s="5"/>
      <c r="GX395" s="5"/>
      <c r="GY395" s="5"/>
      <c r="GZ395" s="5"/>
      <c r="HA395" s="5"/>
    </row>
    <row r="396" spans="1:209" s="6" customFormat="1">
      <c r="A396" s="45" t="s">
        <v>67</v>
      </c>
      <c r="B396" s="61"/>
      <c r="C396" s="37">
        <v>2022</v>
      </c>
      <c r="D396" s="14">
        <f>SUM(E396:I396)</f>
        <v>0</v>
      </c>
      <c r="E396" s="14">
        <v>0</v>
      </c>
      <c r="F396" s="14">
        <v>0</v>
      </c>
      <c r="G396" s="14">
        <v>0</v>
      </c>
      <c r="H396" s="14">
        <v>0</v>
      </c>
      <c r="I396" s="14">
        <v>0</v>
      </c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  <c r="GM396" s="5"/>
      <c r="GN396" s="5"/>
      <c r="GO396" s="5"/>
      <c r="GP396" s="5"/>
      <c r="GQ396" s="5"/>
      <c r="GR396" s="5"/>
      <c r="GS396" s="5"/>
      <c r="GT396" s="5"/>
      <c r="GU396" s="5"/>
      <c r="GV396" s="5"/>
      <c r="GW396" s="5"/>
      <c r="GX396" s="5"/>
      <c r="GY396" s="5"/>
      <c r="GZ396" s="5"/>
      <c r="HA396" s="5"/>
    </row>
    <row r="397" spans="1:209" s="6" customFormat="1">
      <c r="A397" s="46"/>
      <c r="B397" s="61"/>
      <c r="C397" s="37">
        <v>2023</v>
      </c>
      <c r="D397" s="14">
        <f>SUM(E397:I397)</f>
        <v>0</v>
      </c>
      <c r="E397" s="14">
        <v>0</v>
      </c>
      <c r="F397" s="14">
        <v>0</v>
      </c>
      <c r="G397" s="14">
        <v>0</v>
      </c>
      <c r="H397" s="14">
        <v>0</v>
      </c>
      <c r="I397" s="14">
        <v>0</v>
      </c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  <c r="GM397" s="5"/>
      <c r="GN397" s="5"/>
      <c r="GO397" s="5"/>
      <c r="GP397" s="5"/>
      <c r="GQ397" s="5"/>
      <c r="GR397" s="5"/>
      <c r="GS397" s="5"/>
      <c r="GT397" s="5"/>
      <c r="GU397" s="5"/>
      <c r="GV397" s="5"/>
      <c r="GW397" s="5"/>
      <c r="GX397" s="5"/>
      <c r="GY397" s="5"/>
      <c r="GZ397" s="5"/>
      <c r="HA397" s="5"/>
    </row>
    <row r="398" spans="1:209" s="6" customFormat="1">
      <c r="A398" s="47"/>
      <c r="B398" s="61"/>
      <c r="C398" s="37" t="s">
        <v>16</v>
      </c>
      <c r="D398" s="14">
        <f>SUM(D396:D397)</f>
        <v>0</v>
      </c>
      <c r="E398" s="14">
        <f t="shared" ref="E398:I398" si="167">SUM(E396:E397)</f>
        <v>0</v>
      </c>
      <c r="F398" s="14">
        <f t="shared" si="167"/>
        <v>0</v>
      </c>
      <c r="G398" s="14">
        <f t="shared" si="167"/>
        <v>0</v>
      </c>
      <c r="H398" s="14">
        <f t="shared" si="167"/>
        <v>0</v>
      </c>
      <c r="I398" s="14">
        <f t="shared" si="167"/>
        <v>0</v>
      </c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  <c r="GM398" s="5"/>
      <c r="GN398" s="5"/>
      <c r="GO398" s="5"/>
      <c r="GP398" s="5"/>
      <c r="GQ398" s="5"/>
      <c r="GR398" s="5"/>
      <c r="GS398" s="5"/>
      <c r="GT398" s="5"/>
      <c r="GU398" s="5"/>
      <c r="GV398" s="5"/>
      <c r="GW398" s="5"/>
      <c r="GX398" s="5"/>
      <c r="GY398" s="5"/>
      <c r="GZ398" s="5"/>
      <c r="HA398" s="5"/>
    </row>
    <row r="399" spans="1:209" s="6" customFormat="1" ht="18.75" customHeight="1">
      <c r="A399" s="45" t="s">
        <v>49</v>
      </c>
      <c r="B399" s="61"/>
      <c r="C399" s="37">
        <v>2022</v>
      </c>
      <c r="D399" s="14">
        <f>SUM(E399:I399)</f>
        <v>0</v>
      </c>
      <c r="E399" s="14">
        <v>0</v>
      </c>
      <c r="F399" s="14">
        <v>0</v>
      </c>
      <c r="G399" s="14">
        <v>0</v>
      </c>
      <c r="H399" s="14">
        <v>0</v>
      </c>
      <c r="I399" s="14">
        <v>0</v>
      </c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  <c r="GM399" s="5"/>
      <c r="GN399" s="5"/>
      <c r="GO399" s="5"/>
      <c r="GP399" s="5"/>
      <c r="GQ399" s="5"/>
      <c r="GR399" s="5"/>
      <c r="GS399" s="5"/>
      <c r="GT399" s="5"/>
      <c r="GU399" s="5"/>
      <c r="GV399" s="5"/>
      <c r="GW399" s="5"/>
      <c r="GX399" s="5"/>
      <c r="GY399" s="5"/>
      <c r="GZ399" s="5"/>
      <c r="HA399" s="5"/>
    </row>
    <row r="400" spans="1:209" s="6" customFormat="1">
      <c r="A400" s="46"/>
      <c r="B400" s="61"/>
      <c r="C400" s="37">
        <v>2023</v>
      </c>
      <c r="D400" s="14">
        <f>SUM(E400:I400)</f>
        <v>1694.8</v>
      </c>
      <c r="E400" s="14">
        <v>0</v>
      </c>
      <c r="F400" s="14">
        <v>0</v>
      </c>
      <c r="G400" s="14">
        <v>0</v>
      </c>
      <c r="H400" s="14">
        <f>967.3+727.5</f>
        <v>1694.8</v>
      </c>
      <c r="I400" s="14">
        <v>0</v>
      </c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  <c r="GM400" s="5"/>
      <c r="GN400" s="5"/>
      <c r="GO400" s="5"/>
      <c r="GP400" s="5"/>
      <c r="GQ400" s="5"/>
      <c r="GR400" s="5"/>
      <c r="GS400" s="5"/>
      <c r="GT400" s="5"/>
      <c r="GU400" s="5"/>
      <c r="GV400" s="5"/>
      <c r="GW400" s="5"/>
      <c r="GX400" s="5"/>
      <c r="GY400" s="5"/>
      <c r="GZ400" s="5"/>
      <c r="HA400" s="5"/>
    </row>
    <row r="401" spans="1:209" s="6" customFormat="1">
      <c r="A401" s="46"/>
      <c r="B401" s="61"/>
      <c r="C401" s="37">
        <v>2025</v>
      </c>
      <c r="D401" s="14">
        <f t="shared" ref="D401:D402" si="168">SUM(E401:I401)</f>
        <v>830.7</v>
      </c>
      <c r="E401" s="14">
        <v>0</v>
      </c>
      <c r="F401" s="14">
        <v>0</v>
      </c>
      <c r="G401" s="14">
        <v>0</v>
      </c>
      <c r="H401" s="14">
        <f>572+258.7</f>
        <v>830.7</v>
      </c>
      <c r="I401" s="14">
        <v>0</v>
      </c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/>
      <c r="GG401" s="5"/>
      <c r="GH401" s="5"/>
      <c r="GI401" s="5"/>
      <c r="GJ401" s="5"/>
      <c r="GK401" s="5"/>
      <c r="GL401" s="5"/>
      <c r="GM401" s="5"/>
      <c r="GN401" s="5"/>
      <c r="GO401" s="5"/>
      <c r="GP401" s="5"/>
      <c r="GQ401" s="5"/>
      <c r="GR401" s="5"/>
      <c r="GS401" s="5"/>
      <c r="GT401" s="5"/>
      <c r="GU401" s="5"/>
      <c r="GV401" s="5"/>
      <c r="GW401" s="5"/>
      <c r="GX401" s="5"/>
      <c r="GY401" s="5"/>
      <c r="GZ401" s="5"/>
      <c r="HA401" s="5"/>
    </row>
    <row r="402" spans="1:209" s="6" customFormat="1">
      <c r="A402" s="46"/>
      <c r="B402" s="61"/>
      <c r="C402" s="37">
        <v>2026</v>
      </c>
      <c r="D402" s="14">
        <f t="shared" si="168"/>
        <v>385</v>
      </c>
      <c r="E402" s="14">
        <v>0</v>
      </c>
      <c r="F402" s="14">
        <v>0</v>
      </c>
      <c r="G402" s="14">
        <v>0</v>
      </c>
      <c r="H402" s="14">
        <f>0+385</f>
        <v>385</v>
      </c>
      <c r="I402" s="14">
        <v>0</v>
      </c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  <c r="GM402" s="5"/>
      <c r="GN402" s="5"/>
      <c r="GO402" s="5"/>
      <c r="GP402" s="5"/>
      <c r="GQ402" s="5"/>
      <c r="GR402" s="5"/>
      <c r="GS402" s="5"/>
      <c r="GT402" s="5"/>
      <c r="GU402" s="5"/>
      <c r="GV402" s="5"/>
      <c r="GW402" s="5"/>
      <c r="GX402" s="5"/>
      <c r="GY402" s="5"/>
      <c r="GZ402" s="5"/>
      <c r="HA402" s="5"/>
    </row>
    <row r="403" spans="1:209" s="6" customFormat="1">
      <c r="A403" s="47"/>
      <c r="B403" s="61"/>
      <c r="C403" s="37" t="s">
        <v>16</v>
      </c>
      <c r="D403" s="14">
        <f t="shared" ref="D403:H403" si="169">SUM(D399:D402)</f>
        <v>2910.5</v>
      </c>
      <c r="E403" s="14">
        <f t="shared" si="169"/>
        <v>0</v>
      </c>
      <c r="F403" s="14">
        <f t="shared" si="169"/>
        <v>0</v>
      </c>
      <c r="G403" s="14">
        <f t="shared" si="169"/>
        <v>0</v>
      </c>
      <c r="H403" s="14">
        <f t="shared" si="169"/>
        <v>2910.5</v>
      </c>
      <c r="I403" s="14">
        <f>SUM(I399:I402)</f>
        <v>0</v>
      </c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  <c r="GM403" s="5"/>
      <c r="GN403" s="5"/>
      <c r="GO403" s="5"/>
      <c r="GP403" s="5"/>
      <c r="GQ403" s="5"/>
      <c r="GR403" s="5"/>
      <c r="GS403" s="5"/>
      <c r="GT403" s="5"/>
      <c r="GU403" s="5"/>
      <c r="GV403" s="5"/>
      <c r="GW403" s="5"/>
      <c r="GX403" s="5"/>
      <c r="GY403" s="5"/>
      <c r="GZ403" s="5"/>
      <c r="HA403" s="5"/>
    </row>
    <row r="404" spans="1:209" s="6" customFormat="1">
      <c r="A404" s="45" t="s">
        <v>68</v>
      </c>
      <c r="B404" s="61"/>
      <c r="C404" s="37">
        <v>2022</v>
      </c>
      <c r="D404" s="14">
        <f>SUM(E404:I404)</f>
        <v>0</v>
      </c>
      <c r="E404" s="14">
        <v>0</v>
      </c>
      <c r="F404" s="14">
        <v>0</v>
      </c>
      <c r="G404" s="14">
        <v>0</v>
      </c>
      <c r="H404" s="14">
        <v>0</v>
      </c>
      <c r="I404" s="14">
        <v>0</v>
      </c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  <c r="GM404" s="5"/>
      <c r="GN404" s="5"/>
      <c r="GO404" s="5"/>
      <c r="GP404" s="5"/>
      <c r="GQ404" s="5"/>
      <c r="GR404" s="5"/>
      <c r="GS404" s="5"/>
      <c r="GT404" s="5"/>
      <c r="GU404" s="5"/>
      <c r="GV404" s="5"/>
      <c r="GW404" s="5"/>
      <c r="GX404" s="5"/>
      <c r="GY404" s="5"/>
      <c r="GZ404" s="5"/>
      <c r="HA404" s="5"/>
    </row>
    <row r="405" spans="1:209" s="6" customFormat="1">
      <c r="A405" s="46"/>
      <c r="B405" s="61"/>
      <c r="C405" s="37">
        <v>2023</v>
      </c>
      <c r="D405" s="14">
        <f>SUM(E405:I405)</f>
        <v>0</v>
      </c>
      <c r="E405" s="14">
        <v>0</v>
      </c>
      <c r="F405" s="14">
        <v>0</v>
      </c>
      <c r="G405" s="14">
        <v>0</v>
      </c>
      <c r="H405" s="14">
        <v>0</v>
      </c>
      <c r="I405" s="14">
        <v>0</v>
      </c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  <c r="GM405" s="5"/>
      <c r="GN405" s="5"/>
      <c r="GO405" s="5"/>
      <c r="GP405" s="5"/>
      <c r="GQ405" s="5"/>
      <c r="GR405" s="5"/>
      <c r="GS405" s="5"/>
      <c r="GT405" s="5"/>
      <c r="GU405" s="5"/>
      <c r="GV405" s="5"/>
      <c r="GW405" s="5"/>
      <c r="GX405" s="5"/>
      <c r="GY405" s="5"/>
      <c r="GZ405" s="5"/>
      <c r="HA405" s="5"/>
    </row>
    <row r="406" spans="1:209" s="6" customFormat="1">
      <c r="A406" s="47"/>
      <c r="B406" s="61"/>
      <c r="C406" s="37" t="s">
        <v>16</v>
      </c>
      <c r="D406" s="14">
        <f>SUM(D404:D405)</f>
        <v>0</v>
      </c>
      <c r="E406" s="14">
        <f t="shared" ref="E406:I406" si="170">SUM(E404:E405)</f>
        <v>0</v>
      </c>
      <c r="F406" s="14">
        <f t="shared" si="170"/>
        <v>0</v>
      </c>
      <c r="G406" s="14">
        <f t="shared" si="170"/>
        <v>0</v>
      </c>
      <c r="H406" s="14">
        <f t="shared" si="170"/>
        <v>0</v>
      </c>
      <c r="I406" s="14">
        <f t="shared" si="170"/>
        <v>0</v>
      </c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  <c r="GM406" s="5"/>
      <c r="GN406" s="5"/>
      <c r="GO406" s="5"/>
      <c r="GP406" s="5"/>
      <c r="GQ406" s="5"/>
      <c r="GR406" s="5"/>
      <c r="GS406" s="5"/>
      <c r="GT406" s="5"/>
      <c r="GU406" s="5"/>
      <c r="GV406" s="5"/>
      <c r="GW406" s="5"/>
      <c r="GX406" s="5"/>
      <c r="GY406" s="5"/>
      <c r="GZ406" s="5"/>
      <c r="HA406" s="5"/>
    </row>
    <row r="407" spans="1:209" s="6" customFormat="1" ht="18.75" customHeight="1">
      <c r="A407" s="45" t="s">
        <v>50</v>
      </c>
      <c r="B407" s="61"/>
      <c r="C407" s="37">
        <v>2022</v>
      </c>
      <c r="D407" s="14">
        <f>SUM(E407:I407)</f>
        <v>995.7</v>
      </c>
      <c r="E407" s="14">
        <v>0</v>
      </c>
      <c r="F407" s="14">
        <v>0</v>
      </c>
      <c r="G407" s="14">
        <v>995.7</v>
      </c>
      <c r="H407" s="14">
        <v>0</v>
      </c>
      <c r="I407" s="14">
        <v>0</v>
      </c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/>
      <c r="GE407" s="5"/>
      <c r="GF407" s="5"/>
      <c r="GG407" s="5"/>
      <c r="GH407" s="5"/>
      <c r="GI407" s="5"/>
      <c r="GJ407" s="5"/>
      <c r="GK407" s="5"/>
      <c r="GL407" s="5"/>
      <c r="GM407" s="5"/>
      <c r="GN407" s="5"/>
      <c r="GO407" s="5"/>
      <c r="GP407" s="5"/>
      <c r="GQ407" s="5"/>
      <c r="GR407" s="5"/>
      <c r="GS407" s="5"/>
      <c r="GT407" s="5"/>
      <c r="GU407" s="5"/>
      <c r="GV407" s="5"/>
      <c r="GW407" s="5"/>
      <c r="GX407" s="5"/>
      <c r="GY407" s="5"/>
      <c r="GZ407" s="5"/>
      <c r="HA407" s="5"/>
    </row>
    <row r="408" spans="1:209" s="6" customFormat="1">
      <c r="A408" s="46"/>
      <c r="B408" s="61"/>
      <c r="C408" s="37">
        <v>2023</v>
      </c>
      <c r="D408" s="14">
        <f>SUM(E408:I408)</f>
        <v>0</v>
      </c>
      <c r="E408" s="14">
        <v>0</v>
      </c>
      <c r="F408" s="14">
        <v>0</v>
      </c>
      <c r="G408" s="14">
        <v>0</v>
      </c>
      <c r="H408" s="14">
        <v>0</v>
      </c>
      <c r="I408" s="14">
        <v>0</v>
      </c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  <c r="FS408" s="5"/>
      <c r="FT408" s="5"/>
      <c r="FU408" s="5"/>
      <c r="FV408" s="5"/>
      <c r="FW408" s="5"/>
      <c r="FX408" s="5"/>
      <c r="FY408" s="5"/>
      <c r="FZ408" s="5"/>
      <c r="GA408" s="5"/>
      <c r="GB408" s="5"/>
      <c r="GC408" s="5"/>
      <c r="GD408" s="5"/>
      <c r="GE408" s="5"/>
      <c r="GF408" s="5"/>
      <c r="GG408" s="5"/>
      <c r="GH408" s="5"/>
      <c r="GI408" s="5"/>
      <c r="GJ408" s="5"/>
      <c r="GK408" s="5"/>
      <c r="GL408" s="5"/>
      <c r="GM408" s="5"/>
      <c r="GN408" s="5"/>
      <c r="GO408" s="5"/>
      <c r="GP408" s="5"/>
      <c r="GQ408" s="5"/>
      <c r="GR408" s="5"/>
      <c r="GS408" s="5"/>
      <c r="GT408" s="5"/>
      <c r="GU408" s="5"/>
      <c r="GV408" s="5"/>
      <c r="GW408" s="5"/>
      <c r="GX408" s="5"/>
      <c r="GY408" s="5"/>
      <c r="GZ408" s="5"/>
      <c r="HA408" s="5"/>
    </row>
    <row r="409" spans="1:209" s="6" customFormat="1" ht="21" customHeight="1">
      <c r="A409" s="47"/>
      <c r="B409" s="61"/>
      <c r="C409" s="37" t="s">
        <v>16</v>
      </c>
      <c r="D409" s="14">
        <f t="shared" ref="D409:I409" si="171">SUM(D407:D408)</f>
        <v>995.7</v>
      </c>
      <c r="E409" s="14">
        <f t="shared" si="171"/>
        <v>0</v>
      </c>
      <c r="F409" s="14">
        <f t="shared" si="171"/>
        <v>0</v>
      </c>
      <c r="G409" s="14">
        <f t="shared" si="171"/>
        <v>995.7</v>
      </c>
      <c r="H409" s="14">
        <f t="shared" si="171"/>
        <v>0</v>
      </c>
      <c r="I409" s="14">
        <f t="shared" si="171"/>
        <v>0</v>
      </c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  <c r="GM409" s="5"/>
      <c r="GN409" s="5"/>
      <c r="GO409" s="5"/>
      <c r="GP409" s="5"/>
      <c r="GQ409" s="5"/>
      <c r="GR409" s="5"/>
      <c r="GS409" s="5"/>
      <c r="GT409" s="5"/>
      <c r="GU409" s="5"/>
      <c r="GV409" s="5"/>
      <c r="GW409" s="5"/>
      <c r="GX409" s="5"/>
      <c r="GY409" s="5"/>
      <c r="GZ409" s="5"/>
      <c r="HA409" s="5"/>
    </row>
    <row r="410" spans="1:209" s="6" customFormat="1">
      <c r="A410" s="38" t="s">
        <v>77</v>
      </c>
      <c r="B410" s="16"/>
      <c r="C410" s="17"/>
      <c r="D410" s="18"/>
      <c r="E410" s="19"/>
      <c r="F410" s="19"/>
      <c r="G410" s="19"/>
      <c r="H410" s="19"/>
      <c r="I410" s="20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  <c r="FS410" s="5"/>
      <c r="FT410" s="5"/>
      <c r="FU410" s="5"/>
      <c r="FV410" s="5"/>
      <c r="FW410" s="5"/>
      <c r="FX410" s="5"/>
      <c r="FY410" s="5"/>
      <c r="FZ410" s="5"/>
      <c r="GA410" s="5"/>
      <c r="GB410" s="5"/>
      <c r="GC410" s="5"/>
      <c r="GD410" s="5"/>
      <c r="GE410" s="5"/>
      <c r="GF410" s="5"/>
      <c r="GG410" s="5"/>
      <c r="GH410" s="5"/>
      <c r="GI410" s="5"/>
      <c r="GJ410" s="5"/>
      <c r="GK410" s="5"/>
      <c r="GL410" s="5"/>
      <c r="GM410" s="5"/>
      <c r="GN410" s="5"/>
      <c r="GO410" s="5"/>
      <c r="GP410" s="5"/>
      <c r="GQ410" s="5"/>
      <c r="GR410" s="5"/>
      <c r="GS410" s="5"/>
      <c r="GT410" s="5"/>
      <c r="GU410" s="5"/>
      <c r="GV410" s="5"/>
      <c r="GW410" s="5"/>
      <c r="GX410" s="5"/>
      <c r="GY410" s="5"/>
      <c r="GZ410" s="5"/>
      <c r="HA410" s="5"/>
    </row>
    <row r="411" spans="1:209" s="6" customFormat="1">
      <c r="A411" s="54" t="s">
        <v>16</v>
      </c>
      <c r="B411" s="44"/>
      <c r="C411" s="36">
        <v>2022</v>
      </c>
      <c r="D411" s="15">
        <f t="shared" ref="D411:I417" si="172">D419</f>
        <v>41170.199999999997</v>
      </c>
      <c r="E411" s="15">
        <f t="shared" si="172"/>
        <v>0</v>
      </c>
      <c r="F411" s="15">
        <f t="shared" si="172"/>
        <v>0</v>
      </c>
      <c r="G411" s="15">
        <f t="shared" si="172"/>
        <v>0</v>
      </c>
      <c r="H411" s="15">
        <f t="shared" si="172"/>
        <v>41170.199999999997</v>
      </c>
      <c r="I411" s="15">
        <f t="shared" si="172"/>
        <v>0</v>
      </c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  <c r="GM411" s="5"/>
      <c r="GN411" s="5"/>
      <c r="GO411" s="5"/>
      <c r="GP411" s="5"/>
      <c r="GQ411" s="5"/>
      <c r="GR411" s="5"/>
      <c r="GS411" s="5"/>
      <c r="GT411" s="5"/>
      <c r="GU411" s="5"/>
      <c r="GV411" s="5"/>
      <c r="GW411" s="5"/>
      <c r="GX411" s="5"/>
      <c r="GY411" s="5"/>
      <c r="GZ411" s="5"/>
      <c r="HA411" s="5"/>
    </row>
    <row r="412" spans="1:209" s="6" customFormat="1">
      <c r="A412" s="54"/>
      <c r="B412" s="44"/>
      <c r="C412" s="36">
        <v>2023</v>
      </c>
      <c r="D412" s="15">
        <f t="shared" si="172"/>
        <v>43688.6</v>
      </c>
      <c r="E412" s="15">
        <f t="shared" si="172"/>
        <v>0</v>
      </c>
      <c r="F412" s="15">
        <f t="shared" si="172"/>
        <v>0</v>
      </c>
      <c r="G412" s="15">
        <f t="shared" si="172"/>
        <v>0</v>
      </c>
      <c r="H412" s="15">
        <f t="shared" si="172"/>
        <v>43688.6</v>
      </c>
      <c r="I412" s="15">
        <f t="shared" si="172"/>
        <v>0</v>
      </c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  <c r="FO412" s="5"/>
      <c r="FP412" s="5"/>
      <c r="FQ412" s="5"/>
      <c r="FR412" s="5"/>
      <c r="FS412" s="5"/>
      <c r="FT412" s="5"/>
      <c r="FU412" s="5"/>
      <c r="FV412" s="5"/>
      <c r="FW412" s="5"/>
      <c r="FX412" s="5"/>
      <c r="FY412" s="5"/>
      <c r="FZ412" s="5"/>
      <c r="GA412" s="5"/>
      <c r="GB412" s="5"/>
      <c r="GC412" s="5"/>
      <c r="GD412" s="5"/>
      <c r="GE412" s="5"/>
      <c r="GF412" s="5"/>
      <c r="GG412" s="5"/>
      <c r="GH412" s="5"/>
      <c r="GI412" s="5"/>
      <c r="GJ412" s="5"/>
      <c r="GK412" s="5"/>
      <c r="GL412" s="5"/>
      <c r="GM412" s="5"/>
      <c r="GN412" s="5"/>
      <c r="GO412" s="5"/>
      <c r="GP412" s="5"/>
      <c r="GQ412" s="5"/>
      <c r="GR412" s="5"/>
      <c r="GS412" s="5"/>
      <c r="GT412" s="5"/>
      <c r="GU412" s="5"/>
      <c r="GV412" s="5"/>
      <c r="GW412" s="5"/>
      <c r="GX412" s="5"/>
      <c r="GY412" s="5"/>
      <c r="GZ412" s="5"/>
      <c r="HA412" s="5"/>
    </row>
    <row r="413" spans="1:209" s="6" customFormat="1">
      <c r="A413" s="54"/>
      <c r="B413" s="44"/>
      <c r="C413" s="36">
        <v>2024</v>
      </c>
      <c r="D413" s="15">
        <f t="shared" si="172"/>
        <v>49854.7</v>
      </c>
      <c r="E413" s="15">
        <f t="shared" si="172"/>
        <v>0</v>
      </c>
      <c r="F413" s="15">
        <f t="shared" si="172"/>
        <v>0</v>
      </c>
      <c r="G413" s="15">
        <f t="shared" si="172"/>
        <v>0</v>
      </c>
      <c r="H413" s="15">
        <f t="shared" si="172"/>
        <v>49854.7</v>
      </c>
      <c r="I413" s="15">
        <f t="shared" si="172"/>
        <v>0</v>
      </c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/>
      <c r="GL413" s="5"/>
      <c r="GM413" s="5"/>
      <c r="GN413" s="5"/>
      <c r="GO413" s="5"/>
      <c r="GP413" s="5"/>
      <c r="GQ413" s="5"/>
      <c r="GR413" s="5"/>
      <c r="GS413" s="5"/>
      <c r="GT413" s="5"/>
      <c r="GU413" s="5"/>
      <c r="GV413" s="5"/>
      <c r="GW413" s="5"/>
      <c r="GX413" s="5"/>
      <c r="GY413" s="5"/>
      <c r="GZ413" s="5"/>
      <c r="HA413" s="5"/>
    </row>
    <row r="414" spans="1:209" s="6" customFormat="1">
      <c r="A414" s="54"/>
      <c r="B414" s="44"/>
      <c r="C414" s="36">
        <v>2025</v>
      </c>
      <c r="D414" s="15">
        <f t="shared" si="172"/>
        <v>61742.1</v>
      </c>
      <c r="E414" s="15">
        <f t="shared" si="172"/>
        <v>0</v>
      </c>
      <c r="F414" s="15">
        <f t="shared" si="172"/>
        <v>0</v>
      </c>
      <c r="G414" s="15">
        <f t="shared" si="172"/>
        <v>0</v>
      </c>
      <c r="H414" s="15">
        <f t="shared" si="172"/>
        <v>61742.1</v>
      </c>
      <c r="I414" s="15">
        <f t="shared" si="172"/>
        <v>0</v>
      </c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  <c r="FS414" s="5"/>
      <c r="FT414" s="5"/>
      <c r="FU414" s="5"/>
      <c r="FV414" s="5"/>
      <c r="FW414" s="5"/>
      <c r="FX414" s="5"/>
      <c r="FY414" s="5"/>
      <c r="FZ414" s="5"/>
      <c r="GA414" s="5"/>
      <c r="GB414" s="5"/>
      <c r="GC414" s="5"/>
      <c r="GD414" s="5"/>
      <c r="GE414" s="5"/>
      <c r="GF414" s="5"/>
      <c r="GG414" s="5"/>
      <c r="GH414" s="5"/>
      <c r="GI414" s="5"/>
      <c r="GJ414" s="5"/>
      <c r="GK414" s="5"/>
      <c r="GL414" s="5"/>
      <c r="GM414" s="5"/>
      <c r="GN414" s="5"/>
      <c r="GO414" s="5"/>
      <c r="GP414" s="5"/>
      <c r="GQ414" s="5"/>
      <c r="GR414" s="5"/>
      <c r="GS414" s="5"/>
      <c r="GT414" s="5"/>
      <c r="GU414" s="5"/>
      <c r="GV414" s="5"/>
      <c r="GW414" s="5"/>
      <c r="GX414" s="5"/>
      <c r="GY414" s="5"/>
      <c r="GZ414" s="5"/>
      <c r="HA414" s="5"/>
    </row>
    <row r="415" spans="1:209" s="6" customFormat="1">
      <c r="A415" s="54"/>
      <c r="B415" s="44"/>
      <c r="C415" s="36">
        <v>2026</v>
      </c>
      <c r="D415" s="15">
        <f t="shared" si="172"/>
        <v>51666.900000000009</v>
      </c>
      <c r="E415" s="15">
        <f t="shared" si="172"/>
        <v>0</v>
      </c>
      <c r="F415" s="15">
        <f t="shared" si="172"/>
        <v>0</v>
      </c>
      <c r="G415" s="15">
        <f t="shared" si="172"/>
        <v>0</v>
      </c>
      <c r="H415" s="15">
        <f t="shared" si="172"/>
        <v>51666.900000000009</v>
      </c>
      <c r="I415" s="15">
        <f t="shared" si="172"/>
        <v>0</v>
      </c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  <c r="FS415" s="5"/>
      <c r="FT415" s="5"/>
      <c r="FU415" s="5"/>
      <c r="FV415" s="5"/>
      <c r="FW415" s="5"/>
      <c r="FX415" s="5"/>
      <c r="FY415" s="5"/>
      <c r="FZ415" s="5"/>
      <c r="GA415" s="5"/>
      <c r="GB415" s="5"/>
      <c r="GC415" s="5"/>
      <c r="GD415" s="5"/>
      <c r="GE415" s="5"/>
      <c r="GF415" s="5"/>
      <c r="GG415" s="5"/>
      <c r="GH415" s="5"/>
      <c r="GI415" s="5"/>
      <c r="GJ415" s="5"/>
      <c r="GK415" s="5"/>
      <c r="GL415" s="5"/>
      <c r="GM415" s="5"/>
      <c r="GN415" s="5"/>
      <c r="GO415" s="5"/>
      <c r="GP415" s="5"/>
      <c r="GQ415" s="5"/>
      <c r="GR415" s="5"/>
      <c r="GS415" s="5"/>
      <c r="GT415" s="5"/>
      <c r="GU415" s="5"/>
      <c r="GV415" s="5"/>
      <c r="GW415" s="5"/>
      <c r="GX415" s="5"/>
      <c r="GY415" s="5"/>
      <c r="GZ415" s="5"/>
      <c r="HA415" s="5"/>
    </row>
    <row r="416" spans="1:209" s="6" customFormat="1">
      <c r="A416" s="54"/>
      <c r="B416" s="44"/>
      <c r="C416" s="36">
        <v>2027</v>
      </c>
      <c r="D416" s="15">
        <f t="shared" si="172"/>
        <v>44887.8</v>
      </c>
      <c r="E416" s="15">
        <f t="shared" si="172"/>
        <v>0</v>
      </c>
      <c r="F416" s="15">
        <f t="shared" si="172"/>
        <v>0</v>
      </c>
      <c r="G416" s="15">
        <f t="shared" si="172"/>
        <v>0</v>
      </c>
      <c r="H416" s="15">
        <f>H424</f>
        <v>44887.8</v>
      </c>
      <c r="I416" s="15">
        <f>I424</f>
        <v>0</v>
      </c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  <c r="GM416" s="5"/>
      <c r="GN416" s="5"/>
      <c r="GO416" s="5"/>
      <c r="GP416" s="5"/>
      <c r="GQ416" s="5"/>
      <c r="GR416" s="5"/>
      <c r="GS416" s="5"/>
      <c r="GT416" s="5"/>
      <c r="GU416" s="5"/>
      <c r="GV416" s="5"/>
      <c r="GW416" s="5"/>
      <c r="GX416" s="5"/>
      <c r="GY416" s="5"/>
      <c r="GZ416" s="5"/>
      <c r="HA416" s="5"/>
    </row>
    <row r="417" spans="1:209" s="6" customFormat="1">
      <c r="A417" s="54"/>
      <c r="B417" s="44"/>
      <c r="C417" s="36">
        <v>2028</v>
      </c>
      <c r="D417" s="15">
        <f t="shared" si="172"/>
        <v>44892.800000000003</v>
      </c>
      <c r="E417" s="15">
        <f t="shared" si="172"/>
        <v>0</v>
      </c>
      <c r="F417" s="15">
        <f t="shared" si="172"/>
        <v>0</v>
      </c>
      <c r="G417" s="15">
        <f t="shared" si="172"/>
        <v>0</v>
      </c>
      <c r="H417" s="15">
        <f t="shared" si="172"/>
        <v>44892.800000000003</v>
      </c>
      <c r="I417" s="15">
        <f>I425</f>
        <v>0</v>
      </c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/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  <c r="FO417" s="5"/>
      <c r="FP417" s="5"/>
      <c r="FQ417" s="5"/>
      <c r="FR417" s="5"/>
      <c r="FS417" s="5"/>
      <c r="FT417" s="5"/>
      <c r="FU417" s="5"/>
      <c r="FV417" s="5"/>
      <c r="FW417" s="5"/>
      <c r="FX417" s="5"/>
      <c r="FY417" s="5"/>
      <c r="FZ417" s="5"/>
      <c r="GA417" s="5"/>
      <c r="GB417" s="5"/>
      <c r="GC417" s="5"/>
      <c r="GD417" s="5"/>
      <c r="GE417" s="5"/>
      <c r="GF417" s="5"/>
      <c r="GG417" s="5"/>
      <c r="GH417" s="5"/>
      <c r="GI417" s="5"/>
      <c r="GJ417" s="5"/>
      <c r="GK417" s="5"/>
      <c r="GL417" s="5"/>
      <c r="GM417" s="5"/>
      <c r="GN417" s="5"/>
      <c r="GO417" s="5"/>
      <c r="GP417" s="5"/>
      <c r="GQ417" s="5"/>
      <c r="GR417" s="5"/>
      <c r="GS417" s="5"/>
      <c r="GT417" s="5"/>
      <c r="GU417" s="5"/>
      <c r="GV417" s="5"/>
      <c r="GW417" s="5"/>
      <c r="GX417" s="5"/>
      <c r="GY417" s="5"/>
      <c r="GZ417" s="5"/>
      <c r="HA417" s="5"/>
    </row>
    <row r="418" spans="1:209" s="6" customFormat="1">
      <c r="A418" s="54"/>
      <c r="B418" s="44"/>
      <c r="C418" s="36" t="s">
        <v>16</v>
      </c>
      <c r="D418" s="15">
        <f t="shared" ref="D418:H418" si="173">SUM(D411:D417)</f>
        <v>337903.1</v>
      </c>
      <c r="E418" s="15">
        <f t="shared" si="173"/>
        <v>0</v>
      </c>
      <c r="F418" s="15">
        <f t="shared" si="173"/>
        <v>0</v>
      </c>
      <c r="G418" s="15">
        <f t="shared" si="173"/>
        <v>0</v>
      </c>
      <c r="H418" s="15">
        <f t="shared" si="173"/>
        <v>337903.1</v>
      </c>
      <c r="I418" s="15">
        <f>SUM(I411:I417)</f>
        <v>0</v>
      </c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  <c r="ET418" s="5"/>
      <c r="EU418" s="5"/>
      <c r="EV418" s="5"/>
      <c r="EW418" s="5"/>
      <c r="EX418" s="5"/>
      <c r="EY418" s="5"/>
      <c r="EZ418" s="5"/>
      <c r="FA418" s="5"/>
      <c r="FB418" s="5"/>
      <c r="FC418" s="5"/>
      <c r="FD418" s="5"/>
      <c r="FE418" s="5"/>
      <c r="FF418" s="5"/>
      <c r="FG418" s="5"/>
      <c r="FH418" s="5"/>
      <c r="FI418" s="5"/>
      <c r="FJ418" s="5"/>
      <c r="FK418" s="5"/>
      <c r="FL418" s="5"/>
      <c r="FM418" s="5"/>
      <c r="FN418" s="5"/>
      <c r="FO418" s="5"/>
      <c r="FP418" s="5"/>
      <c r="FQ418" s="5"/>
      <c r="FR418" s="5"/>
      <c r="FS418" s="5"/>
      <c r="FT418" s="5"/>
      <c r="FU418" s="5"/>
      <c r="FV418" s="5"/>
      <c r="FW418" s="5"/>
      <c r="FX418" s="5"/>
      <c r="FY418" s="5"/>
      <c r="FZ418" s="5"/>
      <c r="GA418" s="5"/>
      <c r="GB418" s="5"/>
      <c r="GC418" s="5"/>
      <c r="GD418" s="5"/>
      <c r="GE418" s="5"/>
      <c r="GF418" s="5"/>
      <c r="GG418" s="5"/>
      <c r="GH418" s="5"/>
      <c r="GI418" s="5"/>
      <c r="GJ418" s="5"/>
      <c r="GK418" s="5"/>
      <c r="GL418" s="5"/>
      <c r="GM418" s="5"/>
      <c r="GN418" s="5"/>
      <c r="GO418" s="5"/>
      <c r="GP418" s="5"/>
      <c r="GQ418" s="5"/>
      <c r="GR418" s="5"/>
      <c r="GS418" s="5"/>
      <c r="GT418" s="5"/>
      <c r="GU418" s="5"/>
      <c r="GV418" s="5"/>
      <c r="GW418" s="5"/>
      <c r="GX418" s="5"/>
      <c r="GY418" s="5"/>
      <c r="GZ418" s="5"/>
      <c r="HA418" s="5"/>
    </row>
    <row r="419" spans="1:209" s="6" customFormat="1">
      <c r="A419" s="45" t="s">
        <v>51</v>
      </c>
      <c r="B419" s="61"/>
      <c r="C419" s="37">
        <v>2022</v>
      </c>
      <c r="D419" s="14">
        <f t="shared" ref="D419:D424" si="174">SUM(E419:I419)</f>
        <v>41170.199999999997</v>
      </c>
      <c r="E419" s="14">
        <v>0</v>
      </c>
      <c r="F419" s="14">
        <v>0</v>
      </c>
      <c r="G419" s="14">
        <v>0</v>
      </c>
      <c r="H419" s="14">
        <v>41170.199999999997</v>
      </c>
      <c r="I419" s="14">
        <v>0</v>
      </c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  <c r="ET419" s="5"/>
      <c r="EU419" s="5"/>
      <c r="EV419" s="5"/>
      <c r="EW419" s="5"/>
      <c r="EX419" s="5"/>
      <c r="EY419" s="5"/>
      <c r="EZ419" s="5"/>
      <c r="FA419" s="5"/>
      <c r="FB419" s="5"/>
      <c r="FC419" s="5"/>
      <c r="FD419" s="5"/>
      <c r="FE419" s="5"/>
      <c r="FF419" s="5"/>
      <c r="FG419" s="5"/>
      <c r="FH419" s="5"/>
      <c r="FI419" s="5"/>
      <c r="FJ419" s="5"/>
      <c r="FK419" s="5"/>
      <c r="FL419" s="5"/>
      <c r="FM419" s="5"/>
      <c r="FN419" s="5"/>
      <c r="FO419" s="5"/>
      <c r="FP419" s="5"/>
      <c r="FQ419" s="5"/>
      <c r="FR419" s="5"/>
      <c r="FS419" s="5"/>
      <c r="FT419" s="5"/>
      <c r="FU419" s="5"/>
      <c r="FV419" s="5"/>
      <c r="FW419" s="5"/>
      <c r="FX419" s="5"/>
      <c r="FY419" s="5"/>
      <c r="FZ419" s="5"/>
      <c r="GA419" s="5"/>
      <c r="GB419" s="5"/>
      <c r="GC419" s="5"/>
      <c r="GD419" s="5"/>
      <c r="GE419" s="5"/>
      <c r="GF419" s="5"/>
      <c r="GG419" s="5"/>
      <c r="GH419" s="5"/>
      <c r="GI419" s="5"/>
      <c r="GJ419" s="5"/>
      <c r="GK419" s="5"/>
      <c r="GL419" s="5"/>
      <c r="GM419" s="5"/>
      <c r="GN419" s="5"/>
      <c r="GO419" s="5"/>
      <c r="GP419" s="5"/>
      <c r="GQ419" s="5"/>
      <c r="GR419" s="5"/>
      <c r="GS419" s="5"/>
      <c r="GT419" s="5"/>
      <c r="GU419" s="5"/>
      <c r="GV419" s="5"/>
      <c r="GW419" s="5"/>
      <c r="GX419" s="5"/>
      <c r="GY419" s="5"/>
      <c r="GZ419" s="5"/>
      <c r="HA419" s="5"/>
    </row>
    <row r="420" spans="1:209" s="6" customFormat="1">
      <c r="A420" s="46"/>
      <c r="B420" s="61"/>
      <c r="C420" s="37">
        <v>2023</v>
      </c>
      <c r="D420" s="14">
        <f t="shared" si="174"/>
        <v>43688.6</v>
      </c>
      <c r="E420" s="14">
        <v>0</v>
      </c>
      <c r="F420" s="14">
        <v>0</v>
      </c>
      <c r="G420" s="14">
        <v>0</v>
      </c>
      <c r="H420" s="14">
        <v>43688.6</v>
      </c>
      <c r="I420" s="14">
        <v>0</v>
      </c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/>
      <c r="EC420" s="5"/>
      <c r="ED420" s="5"/>
      <c r="EE420" s="5"/>
      <c r="EF420" s="5"/>
      <c r="EG420" s="5"/>
      <c r="EH420" s="5"/>
      <c r="EI420" s="5"/>
      <c r="EJ420" s="5"/>
      <c r="EK420" s="5"/>
      <c r="EL420" s="5"/>
      <c r="EM420" s="5"/>
      <c r="EN420" s="5"/>
      <c r="EO420" s="5"/>
      <c r="EP420" s="5"/>
      <c r="EQ420" s="5"/>
      <c r="ER420" s="5"/>
      <c r="ES420" s="5"/>
      <c r="ET420" s="5"/>
      <c r="EU420" s="5"/>
      <c r="EV420" s="5"/>
      <c r="EW420" s="5"/>
      <c r="EX420" s="5"/>
      <c r="EY420" s="5"/>
      <c r="EZ420" s="5"/>
      <c r="FA420" s="5"/>
      <c r="FB420" s="5"/>
      <c r="FC420" s="5"/>
      <c r="FD420" s="5"/>
      <c r="FE420" s="5"/>
      <c r="FF420" s="5"/>
      <c r="FG420" s="5"/>
      <c r="FH420" s="5"/>
      <c r="FI420" s="5"/>
      <c r="FJ420" s="5"/>
      <c r="FK420" s="5"/>
      <c r="FL420" s="5"/>
      <c r="FM420" s="5"/>
      <c r="FN420" s="5"/>
      <c r="FO420" s="5"/>
      <c r="FP420" s="5"/>
      <c r="FQ420" s="5"/>
      <c r="FR420" s="5"/>
      <c r="FS420" s="5"/>
      <c r="FT420" s="5"/>
      <c r="FU420" s="5"/>
      <c r="FV420" s="5"/>
      <c r="FW420" s="5"/>
      <c r="FX420" s="5"/>
      <c r="FY420" s="5"/>
      <c r="FZ420" s="5"/>
      <c r="GA420" s="5"/>
      <c r="GB420" s="5"/>
      <c r="GC420" s="5"/>
      <c r="GD420" s="5"/>
      <c r="GE420" s="5"/>
      <c r="GF420" s="5"/>
      <c r="GG420" s="5"/>
      <c r="GH420" s="5"/>
      <c r="GI420" s="5"/>
      <c r="GJ420" s="5"/>
      <c r="GK420" s="5"/>
      <c r="GL420" s="5"/>
      <c r="GM420" s="5"/>
      <c r="GN420" s="5"/>
      <c r="GO420" s="5"/>
      <c r="GP420" s="5"/>
      <c r="GQ420" s="5"/>
      <c r="GR420" s="5"/>
      <c r="GS420" s="5"/>
      <c r="GT420" s="5"/>
      <c r="GU420" s="5"/>
      <c r="GV420" s="5"/>
      <c r="GW420" s="5"/>
      <c r="GX420" s="5"/>
      <c r="GY420" s="5"/>
      <c r="GZ420" s="5"/>
      <c r="HA420" s="5"/>
    </row>
    <row r="421" spans="1:209" s="6" customFormat="1">
      <c r="A421" s="46"/>
      <c r="B421" s="61"/>
      <c r="C421" s="37">
        <v>2024</v>
      </c>
      <c r="D421" s="14">
        <f t="shared" si="174"/>
        <v>49854.7</v>
      </c>
      <c r="E421" s="14">
        <v>0</v>
      </c>
      <c r="F421" s="14">
        <v>0</v>
      </c>
      <c r="G421" s="14">
        <v>0</v>
      </c>
      <c r="H421" s="14">
        <v>49854.7</v>
      </c>
      <c r="I421" s="14">
        <v>0</v>
      </c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DZ421" s="5"/>
      <c r="EA421" s="5"/>
      <c r="EB421" s="5"/>
      <c r="EC421" s="5"/>
      <c r="ED421" s="5"/>
      <c r="EE421" s="5"/>
      <c r="EF421" s="5"/>
      <c r="EG421" s="5"/>
      <c r="EH421" s="5"/>
      <c r="EI421" s="5"/>
      <c r="EJ421" s="5"/>
      <c r="EK421" s="5"/>
      <c r="EL421" s="5"/>
      <c r="EM421" s="5"/>
      <c r="EN421" s="5"/>
      <c r="EO421" s="5"/>
      <c r="EP421" s="5"/>
      <c r="EQ421" s="5"/>
      <c r="ER421" s="5"/>
      <c r="ES421" s="5"/>
      <c r="ET421" s="5"/>
      <c r="EU421" s="5"/>
      <c r="EV421" s="5"/>
      <c r="EW421" s="5"/>
      <c r="EX421" s="5"/>
      <c r="EY421" s="5"/>
      <c r="EZ421" s="5"/>
      <c r="FA421" s="5"/>
      <c r="FB421" s="5"/>
      <c r="FC421" s="5"/>
      <c r="FD421" s="5"/>
      <c r="FE421" s="5"/>
      <c r="FF421" s="5"/>
      <c r="FG421" s="5"/>
      <c r="FH421" s="5"/>
      <c r="FI421" s="5"/>
      <c r="FJ421" s="5"/>
      <c r="FK421" s="5"/>
      <c r="FL421" s="5"/>
      <c r="FM421" s="5"/>
      <c r="FN421" s="5"/>
      <c r="FO421" s="5"/>
      <c r="FP421" s="5"/>
      <c r="FQ421" s="5"/>
      <c r="FR421" s="5"/>
      <c r="FS421" s="5"/>
      <c r="FT421" s="5"/>
      <c r="FU421" s="5"/>
      <c r="FV421" s="5"/>
      <c r="FW421" s="5"/>
      <c r="FX421" s="5"/>
      <c r="FY421" s="5"/>
      <c r="FZ421" s="5"/>
      <c r="GA421" s="5"/>
      <c r="GB421" s="5"/>
      <c r="GC421" s="5"/>
      <c r="GD421" s="5"/>
      <c r="GE421" s="5"/>
      <c r="GF421" s="5"/>
      <c r="GG421" s="5"/>
      <c r="GH421" s="5"/>
      <c r="GI421" s="5"/>
      <c r="GJ421" s="5"/>
      <c r="GK421" s="5"/>
      <c r="GL421" s="5"/>
      <c r="GM421" s="5"/>
      <c r="GN421" s="5"/>
      <c r="GO421" s="5"/>
      <c r="GP421" s="5"/>
      <c r="GQ421" s="5"/>
      <c r="GR421" s="5"/>
      <c r="GS421" s="5"/>
      <c r="GT421" s="5"/>
      <c r="GU421" s="5"/>
      <c r="GV421" s="5"/>
      <c r="GW421" s="5"/>
      <c r="GX421" s="5"/>
      <c r="GY421" s="5"/>
      <c r="GZ421" s="5"/>
      <c r="HA421" s="5"/>
    </row>
    <row r="422" spans="1:209" s="6" customFormat="1">
      <c r="A422" s="46"/>
      <c r="B422" s="61"/>
      <c r="C422" s="37">
        <v>2025</v>
      </c>
      <c r="D422" s="14">
        <f t="shared" si="174"/>
        <v>61742.1</v>
      </c>
      <c r="E422" s="14">
        <v>0</v>
      </c>
      <c r="F422" s="14">
        <v>0</v>
      </c>
      <c r="G422" s="14">
        <v>0</v>
      </c>
      <c r="H422" s="14">
        <f>59914+1828.1</f>
        <v>61742.1</v>
      </c>
      <c r="I422" s="14">
        <v>0</v>
      </c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DZ422" s="5"/>
      <c r="EA422" s="5"/>
      <c r="EB422" s="5"/>
      <c r="EC422" s="5"/>
      <c r="ED422" s="5"/>
      <c r="EE422" s="5"/>
      <c r="EF422" s="5"/>
      <c r="EG422" s="5"/>
      <c r="EH422" s="5"/>
      <c r="EI422" s="5"/>
      <c r="EJ422" s="5"/>
      <c r="EK422" s="5"/>
      <c r="EL422" s="5"/>
      <c r="EM422" s="5"/>
      <c r="EN422" s="5"/>
      <c r="EO422" s="5"/>
      <c r="EP422" s="5"/>
      <c r="EQ422" s="5"/>
      <c r="ER422" s="5"/>
      <c r="ES422" s="5"/>
      <c r="ET422" s="5"/>
      <c r="EU422" s="5"/>
      <c r="EV422" s="5"/>
      <c r="EW422" s="5"/>
      <c r="EX422" s="5"/>
      <c r="EY422" s="5"/>
      <c r="EZ422" s="5"/>
      <c r="FA422" s="5"/>
      <c r="FB422" s="5"/>
      <c r="FC422" s="5"/>
      <c r="FD422" s="5"/>
      <c r="FE422" s="5"/>
      <c r="FF422" s="5"/>
      <c r="FG422" s="5"/>
      <c r="FH422" s="5"/>
      <c r="FI422" s="5"/>
      <c r="FJ422" s="5"/>
      <c r="FK422" s="5"/>
      <c r="FL422" s="5"/>
      <c r="FM422" s="5"/>
      <c r="FN422" s="5"/>
      <c r="FO422" s="5"/>
      <c r="FP422" s="5"/>
      <c r="FQ422" s="5"/>
      <c r="FR422" s="5"/>
      <c r="FS422" s="5"/>
      <c r="FT422" s="5"/>
      <c r="FU422" s="5"/>
      <c r="FV422" s="5"/>
      <c r="FW422" s="5"/>
      <c r="FX422" s="5"/>
      <c r="FY422" s="5"/>
      <c r="FZ422" s="5"/>
      <c r="GA422" s="5"/>
      <c r="GB422" s="5"/>
      <c r="GC422" s="5"/>
      <c r="GD422" s="5"/>
      <c r="GE422" s="5"/>
      <c r="GF422" s="5"/>
      <c r="GG422" s="5"/>
      <c r="GH422" s="5"/>
      <c r="GI422" s="5"/>
      <c r="GJ422" s="5"/>
      <c r="GK422" s="5"/>
      <c r="GL422" s="5"/>
      <c r="GM422" s="5"/>
      <c r="GN422" s="5"/>
      <c r="GO422" s="5"/>
      <c r="GP422" s="5"/>
      <c r="GQ422" s="5"/>
      <c r="GR422" s="5"/>
      <c r="GS422" s="5"/>
      <c r="GT422" s="5"/>
      <c r="GU422" s="5"/>
      <c r="GV422" s="5"/>
      <c r="GW422" s="5"/>
      <c r="GX422" s="5"/>
      <c r="GY422" s="5"/>
      <c r="GZ422" s="5"/>
      <c r="HA422" s="5"/>
    </row>
    <row r="423" spans="1:209" s="6" customFormat="1">
      <c r="A423" s="46"/>
      <c r="B423" s="61"/>
      <c r="C423" s="37">
        <v>2026</v>
      </c>
      <c r="D423" s="14">
        <f t="shared" si="174"/>
        <v>51666.900000000009</v>
      </c>
      <c r="E423" s="14">
        <v>0</v>
      </c>
      <c r="F423" s="14">
        <v>0</v>
      </c>
      <c r="G423" s="14">
        <v>0</v>
      </c>
      <c r="H423" s="14">
        <f>64889.4-15025.1+0.3-0.1-8.9+1811.3</f>
        <v>51666.900000000009</v>
      </c>
      <c r="I423" s="14">
        <v>0</v>
      </c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DZ423" s="5"/>
      <c r="EA423" s="5"/>
      <c r="EB423" s="5"/>
      <c r="EC423" s="5"/>
      <c r="ED423" s="5"/>
      <c r="EE423" s="5"/>
      <c r="EF423" s="5"/>
      <c r="EG423" s="5"/>
      <c r="EH423" s="5"/>
      <c r="EI423" s="5"/>
      <c r="EJ423" s="5"/>
      <c r="EK423" s="5"/>
      <c r="EL423" s="5"/>
      <c r="EM423" s="5"/>
      <c r="EN423" s="5"/>
      <c r="EO423" s="5"/>
      <c r="EP423" s="5"/>
      <c r="EQ423" s="5"/>
      <c r="ER423" s="5"/>
      <c r="ES423" s="5"/>
      <c r="ET423" s="5"/>
      <c r="EU423" s="5"/>
      <c r="EV423" s="5"/>
      <c r="EW423" s="5"/>
      <c r="EX423" s="5"/>
      <c r="EY423" s="5"/>
      <c r="EZ423" s="5"/>
      <c r="FA423" s="5"/>
      <c r="FB423" s="5"/>
      <c r="FC423" s="5"/>
      <c r="FD423" s="5"/>
      <c r="FE423" s="5"/>
      <c r="FF423" s="5"/>
      <c r="FG423" s="5"/>
      <c r="FH423" s="5"/>
      <c r="FI423" s="5"/>
      <c r="FJ423" s="5"/>
      <c r="FK423" s="5"/>
      <c r="FL423" s="5"/>
      <c r="FM423" s="5"/>
      <c r="FN423" s="5"/>
      <c r="FO423" s="5"/>
      <c r="FP423" s="5"/>
      <c r="FQ423" s="5"/>
      <c r="FR423" s="5"/>
      <c r="FS423" s="5"/>
      <c r="FT423" s="5"/>
      <c r="FU423" s="5"/>
      <c r="FV423" s="5"/>
      <c r="FW423" s="5"/>
      <c r="FX423" s="5"/>
      <c r="FY423" s="5"/>
      <c r="FZ423" s="5"/>
      <c r="GA423" s="5"/>
      <c r="GB423" s="5"/>
      <c r="GC423" s="5"/>
      <c r="GD423" s="5"/>
      <c r="GE423" s="5"/>
      <c r="GF423" s="5"/>
      <c r="GG423" s="5"/>
      <c r="GH423" s="5"/>
      <c r="GI423" s="5"/>
      <c r="GJ423" s="5"/>
      <c r="GK423" s="5"/>
      <c r="GL423" s="5"/>
      <c r="GM423" s="5"/>
      <c r="GN423" s="5"/>
      <c r="GO423" s="5"/>
      <c r="GP423" s="5"/>
      <c r="GQ423" s="5"/>
      <c r="GR423" s="5"/>
      <c r="GS423" s="5"/>
      <c r="GT423" s="5"/>
      <c r="GU423" s="5"/>
      <c r="GV423" s="5"/>
      <c r="GW423" s="5"/>
      <c r="GX423" s="5"/>
      <c r="GY423" s="5"/>
      <c r="GZ423" s="5"/>
      <c r="HA423" s="5"/>
    </row>
    <row r="424" spans="1:209" s="6" customFormat="1">
      <c r="A424" s="46"/>
      <c r="B424" s="61"/>
      <c r="C424" s="37">
        <v>2027</v>
      </c>
      <c r="D424" s="14">
        <f t="shared" si="174"/>
        <v>44887.8</v>
      </c>
      <c r="E424" s="14">
        <v>0</v>
      </c>
      <c r="F424" s="14">
        <v>0</v>
      </c>
      <c r="G424" s="14">
        <v>0</v>
      </c>
      <c r="H424" s="14">
        <f>63354.5-18466.7</f>
        <v>44887.8</v>
      </c>
      <c r="I424" s="14">
        <v>0</v>
      </c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DZ424" s="5"/>
      <c r="EA424" s="5"/>
      <c r="EB424" s="5"/>
      <c r="EC424" s="5"/>
      <c r="ED424" s="5"/>
      <c r="EE424" s="5"/>
      <c r="EF424" s="5"/>
      <c r="EG424" s="5"/>
      <c r="EH424" s="5"/>
      <c r="EI424" s="5"/>
      <c r="EJ424" s="5"/>
      <c r="EK424" s="5"/>
      <c r="EL424" s="5"/>
      <c r="EM424" s="5"/>
      <c r="EN424" s="5"/>
      <c r="EO424" s="5"/>
      <c r="EP424" s="5"/>
      <c r="EQ424" s="5"/>
      <c r="ER424" s="5"/>
      <c r="ES424" s="5"/>
      <c r="ET424" s="5"/>
      <c r="EU424" s="5"/>
      <c r="EV424" s="5"/>
      <c r="EW424" s="5"/>
      <c r="EX424" s="5"/>
      <c r="EY424" s="5"/>
      <c r="EZ424" s="5"/>
      <c r="FA424" s="5"/>
      <c r="FB424" s="5"/>
      <c r="FC424" s="5"/>
      <c r="FD424" s="5"/>
      <c r="FE424" s="5"/>
      <c r="FF424" s="5"/>
      <c r="FG424" s="5"/>
      <c r="FH424" s="5"/>
      <c r="FI424" s="5"/>
      <c r="FJ424" s="5"/>
      <c r="FK424" s="5"/>
      <c r="FL424" s="5"/>
      <c r="FM424" s="5"/>
      <c r="FN424" s="5"/>
      <c r="FO424" s="5"/>
      <c r="FP424" s="5"/>
      <c r="FQ424" s="5"/>
      <c r="FR424" s="5"/>
      <c r="FS424" s="5"/>
      <c r="FT424" s="5"/>
      <c r="FU424" s="5"/>
      <c r="FV424" s="5"/>
      <c r="FW424" s="5"/>
      <c r="FX424" s="5"/>
      <c r="FY424" s="5"/>
      <c r="FZ424" s="5"/>
      <c r="GA424" s="5"/>
      <c r="GB424" s="5"/>
      <c r="GC424" s="5"/>
      <c r="GD424" s="5"/>
      <c r="GE424" s="5"/>
      <c r="GF424" s="5"/>
      <c r="GG424" s="5"/>
      <c r="GH424" s="5"/>
      <c r="GI424" s="5"/>
      <c r="GJ424" s="5"/>
      <c r="GK424" s="5"/>
      <c r="GL424" s="5"/>
      <c r="GM424" s="5"/>
      <c r="GN424" s="5"/>
      <c r="GO424" s="5"/>
      <c r="GP424" s="5"/>
      <c r="GQ424" s="5"/>
      <c r="GR424" s="5"/>
      <c r="GS424" s="5"/>
      <c r="GT424" s="5"/>
      <c r="GU424" s="5"/>
      <c r="GV424" s="5"/>
      <c r="GW424" s="5"/>
      <c r="GX424" s="5"/>
      <c r="GY424" s="5"/>
      <c r="GZ424" s="5"/>
      <c r="HA424" s="5"/>
    </row>
    <row r="425" spans="1:209" s="6" customFormat="1">
      <c r="A425" s="46"/>
      <c r="B425" s="61"/>
      <c r="C425" s="37">
        <v>2028</v>
      </c>
      <c r="D425" s="14">
        <f>SUM(E425:I425)</f>
        <v>44892.800000000003</v>
      </c>
      <c r="E425" s="14">
        <v>0</v>
      </c>
      <c r="F425" s="14">
        <v>0</v>
      </c>
      <c r="G425" s="14">
        <v>0</v>
      </c>
      <c r="H425" s="14">
        <f>63359.5-18466.7</f>
        <v>44892.800000000003</v>
      </c>
      <c r="I425" s="14">
        <v>0</v>
      </c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DZ425" s="5"/>
      <c r="EA425" s="5"/>
      <c r="EB425" s="5"/>
      <c r="EC425" s="5"/>
      <c r="ED425" s="5"/>
      <c r="EE425" s="5"/>
      <c r="EF425" s="5"/>
      <c r="EG425" s="5"/>
      <c r="EH425" s="5"/>
      <c r="EI425" s="5"/>
      <c r="EJ425" s="5"/>
      <c r="EK425" s="5"/>
      <c r="EL425" s="5"/>
      <c r="EM425" s="5"/>
      <c r="EN425" s="5"/>
      <c r="EO425" s="5"/>
      <c r="EP425" s="5"/>
      <c r="EQ425" s="5"/>
      <c r="ER425" s="5"/>
      <c r="ES425" s="5"/>
      <c r="ET425" s="5"/>
      <c r="EU425" s="5"/>
      <c r="EV425" s="5"/>
      <c r="EW425" s="5"/>
      <c r="EX425" s="5"/>
      <c r="EY425" s="5"/>
      <c r="EZ425" s="5"/>
      <c r="FA425" s="5"/>
      <c r="FB425" s="5"/>
      <c r="FC425" s="5"/>
      <c r="FD425" s="5"/>
      <c r="FE425" s="5"/>
      <c r="FF425" s="5"/>
      <c r="FG425" s="5"/>
      <c r="FH425" s="5"/>
      <c r="FI425" s="5"/>
      <c r="FJ425" s="5"/>
      <c r="FK425" s="5"/>
      <c r="FL425" s="5"/>
      <c r="FM425" s="5"/>
      <c r="FN425" s="5"/>
      <c r="FO425" s="5"/>
      <c r="FP425" s="5"/>
      <c r="FQ425" s="5"/>
      <c r="FR425" s="5"/>
      <c r="FS425" s="5"/>
      <c r="FT425" s="5"/>
      <c r="FU425" s="5"/>
      <c r="FV425" s="5"/>
      <c r="FW425" s="5"/>
      <c r="FX425" s="5"/>
      <c r="FY425" s="5"/>
      <c r="FZ425" s="5"/>
      <c r="GA425" s="5"/>
      <c r="GB425" s="5"/>
      <c r="GC425" s="5"/>
      <c r="GD425" s="5"/>
      <c r="GE425" s="5"/>
      <c r="GF425" s="5"/>
      <c r="GG425" s="5"/>
      <c r="GH425" s="5"/>
      <c r="GI425" s="5"/>
      <c r="GJ425" s="5"/>
      <c r="GK425" s="5"/>
      <c r="GL425" s="5"/>
      <c r="GM425" s="5"/>
      <c r="GN425" s="5"/>
      <c r="GO425" s="5"/>
      <c r="GP425" s="5"/>
      <c r="GQ425" s="5"/>
      <c r="GR425" s="5"/>
      <c r="GS425" s="5"/>
      <c r="GT425" s="5"/>
      <c r="GU425" s="5"/>
      <c r="GV425" s="5"/>
      <c r="GW425" s="5"/>
      <c r="GX425" s="5"/>
      <c r="GY425" s="5"/>
      <c r="GZ425" s="5"/>
      <c r="HA425" s="5"/>
    </row>
    <row r="426" spans="1:209" s="6" customFormat="1">
      <c r="A426" s="47"/>
      <c r="B426" s="61"/>
      <c r="C426" s="37" t="s">
        <v>16</v>
      </c>
      <c r="D426" s="14">
        <f t="shared" ref="D426:H426" si="175">SUM(D419:D425)</f>
        <v>337903.1</v>
      </c>
      <c r="E426" s="14">
        <f t="shared" si="175"/>
        <v>0</v>
      </c>
      <c r="F426" s="14">
        <f t="shared" si="175"/>
        <v>0</v>
      </c>
      <c r="G426" s="14">
        <f t="shared" si="175"/>
        <v>0</v>
      </c>
      <c r="H426" s="14">
        <f t="shared" si="175"/>
        <v>337903.1</v>
      </c>
      <c r="I426" s="14">
        <f>SUM(I419:I425)</f>
        <v>0</v>
      </c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  <c r="DY426" s="5"/>
      <c r="DZ426" s="5"/>
      <c r="EA426" s="5"/>
      <c r="EB426" s="5"/>
      <c r="EC426" s="5"/>
      <c r="ED426" s="5"/>
      <c r="EE426" s="5"/>
      <c r="EF426" s="5"/>
      <c r="EG426" s="5"/>
      <c r="EH426" s="5"/>
      <c r="EI426" s="5"/>
      <c r="EJ426" s="5"/>
      <c r="EK426" s="5"/>
      <c r="EL426" s="5"/>
      <c r="EM426" s="5"/>
      <c r="EN426" s="5"/>
      <c r="EO426" s="5"/>
      <c r="EP426" s="5"/>
      <c r="EQ426" s="5"/>
      <c r="ER426" s="5"/>
      <c r="ES426" s="5"/>
      <c r="ET426" s="5"/>
      <c r="EU426" s="5"/>
      <c r="EV426" s="5"/>
      <c r="EW426" s="5"/>
      <c r="EX426" s="5"/>
      <c r="EY426" s="5"/>
      <c r="EZ426" s="5"/>
      <c r="FA426" s="5"/>
      <c r="FB426" s="5"/>
      <c r="FC426" s="5"/>
      <c r="FD426" s="5"/>
      <c r="FE426" s="5"/>
      <c r="FF426" s="5"/>
      <c r="FG426" s="5"/>
      <c r="FH426" s="5"/>
      <c r="FI426" s="5"/>
      <c r="FJ426" s="5"/>
      <c r="FK426" s="5"/>
      <c r="FL426" s="5"/>
      <c r="FM426" s="5"/>
      <c r="FN426" s="5"/>
      <c r="FO426" s="5"/>
      <c r="FP426" s="5"/>
      <c r="FQ426" s="5"/>
      <c r="FR426" s="5"/>
      <c r="FS426" s="5"/>
      <c r="FT426" s="5"/>
      <c r="FU426" s="5"/>
      <c r="FV426" s="5"/>
      <c r="FW426" s="5"/>
      <c r="FX426" s="5"/>
      <c r="FY426" s="5"/>
      <c r="FZ426" s="5"/>
      <c r="GA426" s="5"/>
      <c r="GB426" s="5"/>
      <c r="GC426" s="5"/>
      <c r="GD426" s="5"/>
      <c r="GE426" s="5"/>
      <c r="GF426" s="5"/>
      <c r="GG426" s="5"/>
      <c r="GH426" s="5"/>
      <c r="GI426" s="5"/>
      <c r="GJ426" s="5"/>
      <c r="GK426" s="5"/>
      <c r="GL426" s="5"/>
      <c r="GM426" s="5"/>
      <c r="GN426" s="5"/>
      <c r="GO426" s="5"/>
      <c r="GP426" s="5"/>
      <c r="GQ426" s="5"/>
      <c r="GR426" s="5"/>
      <c r="GS426" s="5"/>
      <c r="GT426" s="5"/>
      <c r="GU426" s="5"/>
      <c r="GV426" s="5"/>
      <c r="GW426" s="5"/>
      <c r="GX426" s="5"/>
      <c r="GY426" s="5"/>
      <c r="GZ426" s="5"/>
      <c r="HA426" s="5"/>
    </row>
    <row r="427" spans="1:209" s="6" customFormat="1">
      <c r="A427" s="38" t="s">
        <v>98</v>
      </c>
      <c r="B427" s="16"/>
      <c r="C427" s="17"/>
      <c r="D427" s="18"/>
      <c r="E427" s="19"/>
      <c r="F427" s="19"/>
      <c r="G427" s="19"/>
      <c r="H427" s="19"/>
      <c r="I427" s="20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/>
      <c r="ED427" s="5"/>
      <c r="EE427" s="5"/>
      <c r="EF427" s="5"/>
      <c r="EG427" s="5"/>
      <c r="EH427" s="5"/>
      <c r="EI427" s="5"/>
      <c r="EJ427" s="5"/>
      <c r="EK427" s="5"/>
      <c r="EL427" s="5"/>
      <c r="EM427" s="5"/>
      <c r="EN427" s="5"/>
      <c r="EO427" s="5"/>
      <c r="EP427" s="5"/>
      <c r="EQ427" s="5"/>
      <c r="ER427" s="5"/>
      <c r="ES427" s="5"/>
      <c r="ET427" s="5"/>
      <c r="EU427" s="5"/>
      <c r="EV427" s="5"/>
      <c r="EW427" s="5"/>
      <c r="EX427" s="5"/>
      <c r="EY427" s="5"/>
      <c r="EZ427" s="5"/>
      <c r="FA427" s="5"/>
      <c r="FB427" s="5"/>
      <c r="FC427" s="5"/>
      <c r="FD427" s="5"/>
      <c r="FE427" s="5"/>
      <c r="FF427" s="5"/>
      <c r="FG427" s="5"/>
      <c r="FH427" s="5"/>
      <c r="FI427" s="5"/>
      <c r="FJ427" s="5"/>
      <c r="FK427" s="5"/>
      <c r="FL427" s="5"/>
      <c r="FM427" s="5"/>
      <c r="FN427" s="5"/>
      <c r="FO427" s="5"/>
      <c r="FP427" s="5"/>
      <c r="FQ427" s="5"/>
      <c r="FR427" s="5"/>
      <c r="FS427" s="5"/>
      <c r="FT427" s="5"/>
      <c r="FU427" s="5"/>
      <c r="FV427" s="5"/>
      <c r="FW427" s="5"/>
      <c r="FX427" s="5"/>
      <c r="FY427" s="5"/>
      <c r="FZ427" s="5"/>
      <c r="GA427" s="5"/>
      <c r="GB427" s="5"/>
      <c r="GC427" s="5"/>
      <c r="GD427" s="5"/>
      <c r="GE427" s="5"/>
      <c r="GF427" s="5"/>
      <c r="GG427" s="5"/>
      <c r="GH427" s="5"/>
      <c r="GI427" s="5"/>
      <c r="GJ427" s="5"/>
      <c r="GK427" s="5"/>
      <c r="GL427" s="5"/>
      <c r="GM427" s="5"/>
      <c r="GN427" s="5"/>
      <c r="GO427" s="5"/>
      <c r="GP427" s="5"/>
      <c r="GQ427" s="5"/>
      <c r="GR427" s="5"/>
      <c r="GS427" s="5"/>
      <c r="GT427" s="5"/>
      <c r="GU427" s="5"/>
      <c r="GV427" s="5"/>
      <c r="GW427" s="5"/>
      <c r="GX427" s="5"/>
      <c r="GY427" s="5"/>
      <c r="GZ427" s="5"/>
      <c r="HA427" s="5"/>
    </row>
    <row r="428" spans="1:209" s="6" customFormat="1" ht="19.5" customHeight="1">
      <c r="A428" s="51" t="s">
        <v>16</v>
      </c>
      <c r="B428" s="44"/>
      <c r="C428" s="36">
        <v>2027</v>
      </c>
      <c r="D428" s="15">
        <f t="shared" ref="D428:I428" si="176">D430</f>
        <v>6001.1</v>
      </c>
      <c r="E428" s="15">
        <f t="shared" si="176"/>
        <v>0</v>
      </c>
      <c r="F428" s="15">
        <f t="shared" si="176"/>
        <v>0</v>
      </c>
      <c r="G428" s="15">
        <f t="shared" si="176"/>
        <v>0</v>
      </c>
      <c r="H428" s="15">
        <f t="shared" si="176"/>
        <v>6001.1</v>
      </c>
      <c r="I428" s="15">
        <f t="shared" si="176"/>
        <v>0</v>
      </c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DZ428" s="5"/>
      <c r="EA428" s="5"/>
      <c r="EB428" s="5"/>
      <c r="EC428" s="5"/>
      <c r="ED428" s="5"/>
      <c r="EE428" s="5"/>
      <c r="EF428" s="5"/>
      <c r="EG428" s="5"/>
      <c r="EH428" s="5"/>
      <c r="EI428" s="5"/>
      <c r="EJ428" s="5"/>
      <c r="EK428" s="5"/>
      <c r="EL428" s="5"/>
      <c r="EM428" s="5"/>
      <c r="EN428" s="5"/>
      <c r="EO428" s="5"/>
      <c r="EP428" s="5"/>
      <c r="EQ428" s="5"/>
      <c r="ER428" s="5"/>
      <c r="ES428" s="5"/>
      <c r="ET428" s="5"/>
      <c r="EU428" s="5"/>
      <c r="EV428" s="5"/>
      <c r="EW428" s="5"/>
      <c r="EX428" s="5"/>
      <c r="EY428" s="5"/>
      <c r="EZ428" s="5"/>
      <c r="FA428" s="5"/>
      <c r="FB428" s="5"/>
      <c r="FC428" s="5"/>
      <c r="FD428" s="5"/>
      <c r="FE428" s="5"/>
      <c r="FF428" s="5"/>
      <c r="FG428" s="5"/>
      <c r="FH428" s="5"/>
      <c r="FI428" s="5"/>
      <c r="FJ428" s="5"/>
      <c r="FK428" s="5"/>
      <c r="FL428" s="5"/>
      <c r="FM428" s="5"/>
      <c r="FN428" s="5"/>
      <c r="FO428" s="5"/>
      <c r="FP428" s="5"/>
      <c r="FQ428" s="5"/>
      <c r="FR428" s="5"/>
      <c r="FS428" s="5"/>
      <c r="FT428" s="5"/>
      <c r="FU428" s="5"/>
      <c r="FV428" s="5"/>
      <c r="FW428" s="5"/>
      <c r="FX428" s="5"/>
      <c r="FY428" s="5"/>
      <c r="FZ428" s="5"/>
      <c r="GA428" s="5"/>
      <c r="GB428" s="5"/>
      <c r="GC428" s="5"/>
      <c r="GD428" s="5"/>
      <c r="GE428" s="5"/>
      <c r="GF428" s="5"/>
      <c r="GG428" s="5"/>
      <c r="GH428" s="5"/>
      <c r="GI428" s="5"/>
      <c r="GJ428" s="5"/>
      <c r="GK428" s="5"/>
      <c r="GL428" s="5"/>
      <c r="GM428" s="5"/>
      <c r="GN428" s="5"/>
      <c r="GO428" s="5"/>
      <c r="GP428" s="5"/>
      <c r="GQ428" s="5"/>
      <c r="GR428" s="5"/>
      <c r="GS428" s="5"/>
      <c r="GT428" s="5"/>
      <c r="GU428" s="5"/>
      <c r="GV428" s="5"/>
      <c r="GW428" s="5"/>
      <c r="GX428" s="5"/>
      <c r="GY428" s="5"/>
      <c r="GZ428" s="5"/>
      <c r="HA428" s="5"/>
    </row>
    <row r="429" spans="1:209" s="6" customFormat="1" ht="28.5" customHeight="1">
      <c r="A429" s="53"/>
      <c r="B429" s="44"/>
      <c r="C429" s="36" t="s">
        <v>16</v>
      </c>
      <c r="D429" s="15">
        <f t="shared" ref="D429:I429" si="177">SUM(D428:D428)</f>
        <v>6001.1</v>
      </c>
      <c r="E429" s="15">
        <f t="shared" si="177"/>
        <v>0</v>
      </c>
      <c r="F429" s="15">
        <f t="shared" si="177"/>
        <v>0</v>
      </c>
      <c r="G429" s="15">
        <f t="shared" si="177"/>
        <v>0</v>
      </c>
      <c r="H429" s="15">
        <f t="shared" si="177"/>
        <v>6001.1</v>
      </c>
      <c r="I429" s="15">
        <f t="shared" si="177"/>
        <v>0</v>
      </c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/>
      <c r="ED429" s="5"/>
      <c r="EE429" s="5"/>
      <c r="EF429" s="5"/>
      <c r="EG429" s="5"/>
      <c r="EH429" s="5"/>
      <c r="EI429" s="5"/>
      <c r="EJ429" s="5"/>
      <c r="EK429" s="5"/>
      <c r="EL429" s="5"/>
      <c r="EM429" s="5"/>
      <c r="EN429" s="5"/>
      <c r="EO429" s="5"/>
      <c r="EP429" s="5"/>
      <c r="EQ429" s="5"/>
      <c r="ER429" s="5"/>
      <c r="ES429" s="5"/>
      <c r="ET429" s="5"/>
      <c r="EU429" s="5"/>
      <c r="EV429" s="5"/>
      <c r="EW429" s="5"/>
      <c r="EX429" s="5"/>
      <c r="EY429" s="5"/>
      <c r="EZ429" s="5"/>
      <c r="FA429" s="5"/>
      <c r="FB429" s="5"/>
      <c r="FC429" s="5"/>
      <c r="FD429" s="5"/>
      <c r="FE429" s="5"/>
      <c r="FF429" s="5"/>
      <c r="FG429" s="5"/>
      <c r="FH429" s="5"/>
      <c r="FI429" s="5"/>
      <c r="FJ429" s="5"/>
      <c r="FK429" s="5"/>
      <c r="FL429" s="5"/>
      <c r="FM429" s="5"/>
      <c r="FN429" s="5"/>
      <c r="FO429" s="5"/>
      <c r="FP429" s="5"/>
      <c r="FQ429" s="5"/>
      <c r="FR429" s="5"/>
      <c r="FS429" s="5"/>
      <c r="FT429" s="5"/>
      <c r="FU429" s="5"/>
      <c r="FV429" s="5"/>
      <c r="FW429" s="5"/>
      <c r="FX429" s="5"/>
      <c r="FY429" s="5"/>
      <c r="FZ429" s="5"/>
      <c r="GA429" s="5"/>
      <c r="GB429" s="5"/>
      <c r="GC429" s="5"/>
      <c r="GD429" s="5"/>
      <c r="GE429" s="5"/>
      <c r="GF429" s="5"/>
      <c r="GG429" s="5"/>
      <c r="GH429" s="5"/>
      <c r="GI429" s="5"/>
      <c r="GJ429" s="5"/>
      <c r="GK429" s="5"/>
      <c r="GL429" s="5"/>
      <c r="GM429" s="5"/>
      <c r="GN429" s="5"/>
      <c r="GO429" s="5"/>
      <c r="GP429" s="5"/>
      <c r="GQ429" s="5"/>
      <c r="GR429" s="5"/>
      <c r="GS429" s="5"/>
      <c r="GT429" s="5"/>
      <c r="GU429" s="5"/>
      <c r="GV429" s="5"/>
      <c r="GW429" s="5"/>
      <c r="GX429" s="5"/>
      <c r="GY429" s="5"/>
      <c r="GZ429" s="5"/>
      <c r="HA429" s="5"/>
    </row>
    <row r="430" spans="1:209" s="6" customFormat="1" ht="21.75" customHeight="1">
      <c r="A430" s="45" t="s">
        <v>94</v>
      </c>
      <c r="B430" s="61"/>
      <c r="C430" s="37">
        <v>2027</v>
      </c>
      <c r="D430" s="14">
        <f t="shared" ref="D430" si="178">SUM(E430:I430)</f>
        <v>6001.1</v>
      </c>
      <c r="E430" s="14">
        <v>0</v>
      </c>
      <c r="F430" s="14">
        <v>0</v>
      </c>
      <c r="G430" s="14">
        <v>0</v>
      </c>
      <c r="H430" s="14">
        <v>6001.1</v>
      </c>
      <c r="I430" s="14">
        <v>0</v>
      </c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DZ430" s="5"/>
      <c r="EA430" s="5"/>
      <c r="EB430" s="5"/>
      <c r="EC430" s="5"/>
      <c r="ED430" s="5"/>
      <c r="EE430" s="5"/>
      <c r="EF430" s="5"/>
      <c r="EG430" s="5"/>
      <c r="EH430" s="5"/>
      <c r="EI430" s="5"/>
      <c r="EJ430" s="5"/>
      <c r="EK430" s="5"/>
      <c r="EL430" s="5"/>
      <c r="EM430" s="5"/>
      <c r="EN430" s="5"/>
      <c r="EO430" s="5"/>
      <c r="EP430" s="5"/>
      <c r="EQ430" s="5"/>
      <c r="ER430" s="5"/>
      <c r="ES430" s="5"/>
      <c r="ET430" s="5"/>
      <c r="EU430" s="5"/>
      <c r="EV430" s="5"/>
      <c r="EW430" s="5"/>
      <c r="EX430" s="5"/>
      <c r="EY430" s="5"/>
      <c r="EZ430" s="5"/>
      <c r="FA430" s="5"/>
      <c r="FB430" s="5"/>
      <c r="FC430" s="5"/>
      <c r="FD430" s="5"/>
      <c r="FE430" s="5"/>
      <c r="FF430" s="5"/>
      <c r="FG430" s="5"/>
      <c r="FH430" s="5"/>
      <c r="FI430" s="5"/>
      <c r="FJ430" s="5"/>
      <c r="FK430" s="5"/>
      <c r="FL430" s="5"/>
      <c r="FM430" s="5"/>
      <c r="FN430" s="5"/>
      <c r="FO430" s="5"/>
      <c r="FP430" s="5"/>
      <c r="FQ430" s="5"/>
      <c r="FR430" s="5"/>
      <c r="FS430" s="5"/>
      <c r="FT430" s="5"/>
      <c r="FU430" s="5"/>
      <c r="FV430" s="5"/>
      <c r="FW430" s="5"/>
      <c r="FX430" s="5"/>
      <c r="FY430" s="5"/>
      <c r="FZ430" s="5"/>
      <c r="GA430" s="5"/>
      <c r="GB430" s="5"/>
      <c r="GC430" s="5"/>
      <c r="GD430" s="5"/>
      <c r="GE430" s="5"/>
      <c r="GF430" s="5"/>
      <c r="GG430" s="5"/>
      <c r="GH430" s="5"/>
      <c r="GI430" s="5"/>
      <c r="GJ430" s="5"/>
      <c r="GK430" s="5"/>
      <c r="GL430" s="5"/>
      <c r="GM430" s="5"/>
      <c r="GN430" s="5"/>
      <c r="GO430" s="5"/>
      <c r="GP430" s="5"/>
      <c r="GQ430" s="5"/>
      <c r="GR430" s="5"/>
      <c r="GS430" s="5"/>
      <c r="GT430" s="5"/>
      <c r="GU430" s="5"/>
      <c r="GV430" s="5"/>
      <c r="GW430" s="5"/>
      <c r="GX430" s="5"/>
      <c r="GY430" s="5"/>
      <c r="GZ430" s="5"/>
      <c r="HA430" s="5"/>
    </row>
    <row r="431" spans="1:209" s="6" customFormat="1" ht="33.75" customHeight="1">
      <c r="A431" s="47"/>
      <c r="B431" s="61"/>
      <c r="C431" s="37" t="s">
        <v>16</v>
      </c>
      <c r="D431" s="14">
        <f t="shared" ref="D431:I431" si="179">SUM(D430:D430)</f>
        <v>6001.1</v>
      </c>
      <c r="E431" s="14">
        <f t="shared" si="179"/>
        <v>0</v>
      </c>
      <c r="F431" s="14">
        <f t="shared" si="179"/>
        <v>0</v>
      </c>
      <c r="G431" s="14">
        <f t="shared" si="179"/>
        <v>0</v>
      </c>
      <c r="H431" s="14">
        <f t="shared" si="179"/>
        <v>6001.1</v>
      </c>
      <c r="I431" s="14">
        <f t="shared" si="179"/>
        <v>0</v>
      </c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/>
      <c r="ED431" s="5"/>
      <c r="EE431" s="5"/>
      <c r="EF431" s="5"/>
      <c r="EG431" s="5"/>
      <c r="EH431" s="5"/>
      <c r="EI431" s="5"/>
      <c r="EJ431" s="5"/>
      <c r="EK431" s="5"/>
      <c r="EL431" s="5"/>
      <c r="EM431" s="5"/>
      <c r="EN431" s="5"/>
      <c r="EO431" s="5"/>
      <c r="EP431" s="5"/>
      <c r="EQ431" s="5"/>
      <c r="ER431" s="5"/>
      <c r="ES431" s="5"/>
      <c r="ET431" s="5"/>
      <c r="EU431" s="5"/>
      <c r="EV431" s="5"/>
      <c r="EW431" s="5"/>
      <c r="EX431" s="5"/>
      <c r="EY431" s="5"/>
      <c r="EZ431" s="5"/>
      <c r="FA431" s="5"/>
      <c r="FB431" s="5"/>
      <c r="FC431" s="5"/>
      <c r="FD431" s="5"/>
      <c r="FE431" s="5"/>
      <c r="FF431" s="5"/>
      <c r="FG431" s="5"/>
      <c r="FH431" s="5"/>
      <c r="FI431" s="5"/>
      <c r="FJ431" s="5"/>
      <c r="FK431" s="5"/>
      <c r="FL431" s="5"/>
      <c r="FM431" s="5"/>
      <c r="FN431" s="5"/>
      <c r="FO431" s="5"/>
      <c r="FP431" s="5"/>
      <c r="FQ431" s="5"/>
      <c r="FR431" s="5"/>
      <c r="FS431" s="5"/>
      <c r="FT431" s="5"/>
      <c r="FU431" s="5"/>
      <c r="FV431" s="5"/>
      <c r="FW431" s="5"/>
      <c r="FX431" s="5"/>
      <c r="FY431" s="5"/>
      <c r="FZ431" s="5"/>
      <c r="GA431" s="5"/>
      <c r="GB431" s="5"/>
      <c r="GC431" s="5"/>
      <c r="GD431" s="5"/>
      <c r="GE431" s="5"/>
      <c r="GF431" s="5"/>
      <c r="GG431" s="5"/>
      <c r="GH431" s="5"/>
      <c r="GI431" s="5"/>
      <c r="GJ431" s="5"/>
      <c r="GK431" s="5"/>
      <c r="GL431" s="5"/>
      <c r="GM431" s="5"/>
      <c r="GN431" s="5"/>
      <c r="GO431" s="5"/>
      <c r="GP431" s="5"/>
      <c r="GQ431" s="5"/>
      <c r="GR431" s="5"/>
      <c r="GS431" s="5"/>
      <c r="GT431" s="5"/>
      <c r="GU431" s="5"/>
      <c r="GV431" s="5"/>
      <c r="GW431" s="5"/>
      <c r="GX431" s="5"/>
      <c r="GY431" s="5"/>
      <c r="GZ431" s="5"/>
      <c r="HA431" s="5"/>
    </row>
  </sheetData>
  <mergeCells count="192">
    <mergeCell ref="A430:A431"/>
    <mergeCell ref="B430:B431"/>
    <mergeCell ref="A411:A418"/>
    <mergeCell ref="B411:B418"/>
    <mergeCell ref="A419:A426"/>
    <mergeCell ref="B419:B426"/>
    <mergeCell ref="A428:A429"/>
    <mergeCell ref="B428:B429"/>
    <mergeCell ref="A399:A403"/>
    <mergeCell ref="B399:B403"/>
    <mergeCell ref="A404:A406"/>
    <mergeCell ref="B404:B406"/>
    <mergeCell ref="A407:A409"/>
    <mergeCell ref="B407:B409"/>
    <mergeCell ref="A388:A389"/>
    <mergeCell ref="B388:B389"/>
    <mergeCell ref="A391:A395"/>
    <mergeCell ref="B391:B395"/>
    <mergeCell ref="A396:A398"/>
    <mergeCell ref="B396:B398"/>
    <mergeCell ref="A381:A382"/>
    <mergeCell ref="B381:B382"/>
    <mergeCell ref="A383:A384"/>
    <mergeCell ref="B383:B384"/>
    <mergeCell ref="A385:A387"/>
    <mergeCell ref="B385:B387"/>
    <mergeCell ref="A357:A364"/>
    <mergeCell ref="B357:B364"/>
    <mergeCell ref="A365:A372"/>
    <mergeCell ref="B365:B372"/>
    <mergeCell ref="A373:A380"/>
    <mergeCell ref="B373:B380"/>
    <mergeCell ref="A339:I339"/>
    <mergeCell ref="A340:A345"/>
    <mergeCell ref="B340:B345"/>
    <mergeCell ref="A346:A351"/>
    <mergeCell ref="B346:B351"/>
    <mergeCell ref="A352:A355"/>
    <mergeCell ref="B352:B355"/>
    <mergeCell ref="A332:A333"/>
    <mergeCell ref="B332:B333"/>
    <mergeCell ref="A334:A335"/>
    <mergeCell ref="B334:B335"/>
    <mergeCell ref="A336:A338"/>
    <mergeCell ref="B336:B338"/>
    <mergeCell ref="A323:A325"/>
    <mergeCell ref="B323:B325"/>
    <mergeCell ref="A326:A329"/>
    <mergeCell ref="B326:B329"/>
    <mergeCell ref="A330:A331"/>
    <mergeCell ref="B330:B331"/>
    <mergeCell ref="A302:A309"/>
    <mergeCell ref="B302:B309"/>
    <mergeCell ref="A311:A316"/>
    <mergeCell ref="B311:B316"/>
    <mergeCell ref="A317:A322"/>
    <mergeCell ref="B317:B322"/>
    <mergeCell ref="A286:A288"/>
    <mergeCell ref="B286:B288"/>
    <mergeCell ref="A289:A292"/>
    <mergeCell ref="B289:B292"/>
    <mergeCell ref="A294:A301"/>
    <mergeCell ref="B294:B301"/>
    <mergeCell ref="A267:A268"/>
    <mergeCell ref="B267:B268"/>
    <mergeCell ref="A269:I269"/>
    <mergeCell ref="A270:A277"/>
    <mergeCell ref="B270:B277"/>
    <mergeCell ref="A278:A285"/>
    <mergeCell ref="B278:B285"/>
    <mergeCell ref="A257:A261"/>
    <mergeCell ref="B257:B261"/>
    <mergeCell ref="A262:A264"/>
    <mergeCell ref="B262:B264"/>
    <mergeCell ref="A265:A266"/>
    <mergeCell ref="B265:B266"/>
    <mergeCell ref="A245:A247"/>
    <mergeCell ref="B245:B247"/>
    <mergeCell ref="A248:A250"/>
    <mergeCell ref="B248:B250"/>
    <mergeCell ref="A251:A256"/>
    <mergeCell ref="B251:B256"/>
    <mergeCell ref="A236:A238"/>
    <mergeCell ref="B236:B238"/>
    <mergeCell ref="A239:A241"/>
    <mergeCell ref="B239:B241"/>
    <mergeCell ref="A242:A244"/>
    <mergeCell ref="B242:B244"/>
    <mergeCell ref="A218:A221"/>
    <mergeCell ref="B218:B221"/>
    <mergeCell ref="A222:A229"/>
    <mergeCell ref="B222:B229"/>
    <mergeCell ref="A230:A235"/>
    <mergeCell ref="B230:B235"/>
    <mergeCell ref="A194:A201"/>
    <mergeCell ref="B194:B201"/>
    <mergeCell ref="A202:A209"/>
    <mergeCell ref="B202:B209"/>
    <mergeCell ref="A210:A217"/>
    <mergeCell ref="B210:B217"/>
    <mergeCell ref="A174:A175"/>
    <mergeCell ref="B174:B175"/>
    <mergeCell ref="A177:A184"/>
    <mergeCell ref="B177:B184"/>
    <mergeCell ref="A186:A193"/>
    <mergeCell ref="B186:B193"/>
    <mergeCell ref="A164:A167"/>
    <mergeCell ref="B164:B167"/>
    <mergeCell ref="A168:A171"/>
    <mergeCell ref="B168:B171"/>
    <mergeCell ref="A172:A173"/>
    <mergeCell ref="B172:B173"/>
    <mergeCell ref="A155:A157"/>
    <mergeCell ref="B155:B157"/>
    <mergeCell ref="A158:A160"/>
    <mergeCell ref="B158:B160"/>
    <mergeCell ref="A161:A163"/>
    <mergeCell ref="B161:B163"/>
    <mergeCell ref="A145:A148"/>
    <mergeCell ref="B145:B148"/>
    <mergeCell ref="A149:A151"/>
    <mergeCell ref="B149:B151"/>
    <mergeCell ref="A152:A154"/>
    <mergeCell ref="B152:B154"/>
    <mergeCell ref="A134:A138"/>
    <mergeCell ref="B134:B138"/>
    <mergeCell ref="A139:A141"/>
    <mergeCell ref="B139:B141"/>
    <mergeCell ref="A142:A144"/>
    <mergeCell ref="B142:B144"/>
    <mergeCell ref="A120:A122"/>
    <mergeCell ref="B120:B122"/>
    <mergeCell ref="A123:A128"/>
    <mergeCell ref="B123:B128"/>
    <mergeCell ref="A129:A133"/>
    <mergeCell ref="B129:B133"/>
    <mergeCell ref="A111:A113"/>
    <mergeCell ref="B111:B113"/>
    <mergeCell ref="A114:A116"/>
    <mergeCell ref="B114:B116"/>
    <mergeCell ref="A117:A119"/>
    <mergeCell ref="B117:B119"/>
    <mergeCell ref="A102:A104"/>
    <mergeCell ref="B102:B104"/>
    <mergeCell ref="A105:A107"/>
    <mergeCell ref="B105:B107"/>
    <mergeCell ref="A108:A110"/>
    <mergeCell ref="B108:B110"/>
    <mergeCell ref="A93:A95"/>
    <mergeCell ref="B93:B95"/>
    <mergeCell ref="A96:A98"/>
    <mergeCell ref="B96:B98"/>
    <mergeCell ref="A99:A101"/>
    <mergeCell ref="B99:B101"/>
    <mergeCell ref="A84:A86"/>
    <mergeCell ref="B84:B86"/>
    <mergeCell ref="A87:A89"/>
    <mergeCell ref="B87:B89"/>
    <mergeCell ref="A90:A92"/>
    <mergeCell ref="B90:B92"/>
    <mergeCell ref="A75:A77"/>
    <mergeCell ref="B75:B77"/>
    <mergeCell ref="A78:A80"/>
    <mergeCell ref="B78:B80"/>
    <mergeCell ref="A81:A83"/>
    <mergeCell ref="B81:B83"/>
    <mergeCell ref="A60:A64"/>
    <mergeCell ref="B60:B64"/>
    <mergeCell ref="A65:A69"/>
    <mergeCell ref="B65:B69"/>
    <mergeCell ref="A70:A74"/>
    <mergeCell ref="B70:B74"/>
    <mergeCell ref="A47:A54"/>
    <mergeCell ref="B47:B54"/>
    <mergeCell ref="A55:A59"/>
    <mergeCell ref="B55:B59"/>
    <mergeCell ref="A14:A21"/>
    <mergeCell ref="B14:B21"/>
    <mergeCell ref="A23:A30"/>
    <mergeCell ref="B23:B30"/>
    <mergeCell ref="A31:A38"/>
    <mergeCell ref="B31:B38"/>
    <mergeCell ref="G1:I1"/>
    <mergeCell ref="G2:I2"/>
    <mergeCell ref="G6:I6"/>
    <mergeCell ref="A11:A12"/>
    <mergeCell ref="B11:B12"/>
    <mergeCell ref="C11:C12"/>
    <mergeCell ref="D11:I11"/>
    <mergeCell ref="A39:A46"/>
    <mergeCell ref="B39:B46"/>
    <mergeCell ref="G5:I5"/>
  </mergeCells>
  <hyperlinks>
    <hyperlink ref="G2" location="sub_1000" display="sub_1000"/>
  </hyperlinks>
  <pageMargins left="0.70866141732283472" right="0.70866141732283472" top="0.94488188976377963" bottom="0.55118110236220474" header="0.31496062992125984" footer="0.31496062992125984"/>
  <pageSetup paperSize="9" scale="72" fitToHeight="0" orientation="landscape" r:id="rId1"/>
  <rowBreaks count="14" manualBreakCount="14">
    <brk id="21" max="8" man="1"/>
    <brk id="54" max="8" man="1"/>
    <brk id="89" max="8" man="1"/>
    <brk id="119" max="8" man="1"/>
    <brk id="144" max="8" man="1"/>
    <brk id="171" max="8" man="1"/>
    <brk id="201" max="8" man="1"/>
    <brk id="229" max="8" man="1"/>
    <brk id="250" max="8" man="1"/>
    <brk id="277" max="8" man="1"/>
    <brk id="309" max="8" man="1"/>
    <brk id="338" max="8" man="1"/>
    <brk id="372" max="8" man="1"/>
    <brk id="40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к постановлению</vt:lpstr>
      <vt:lpstr>'Приложение к постановлению'!Область_печати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2026-05-22T06:06:52Z</dcterms:modified>
</cp:coreProperties>
</file>