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45"/>
  </bookViews>
  <sheets>
    <sheet name="Приложение к постановлению" sheetId="46" r:id="rId1"/>
  </sheets>
  <definedNames>
    <definedName name="APPT" localSheetId="0">#REF!</definedName>
    <definedName name="APPT">#REF!</definedName>
    <definedName name="BPYM" localSheetId="0">#REF!</definedName>
    <definedName name="BPYM">#REF!</definedName>
    <definedName name="ERT" localSheetId="0">#REF!</definedName>
    <definedName name="ERT">#REF!</definedName>
    <definedName name="FDC" localSheetId="0">#REF!</definedName>
    <definedName name="FDC">#REF!</definedName>
    <definedName name="FIO" localSheetId="0">#REF!</definedName>
    <definedName name="FIO">#REF!</definedName>
    <definedName name="ghj" localSheetId="0">#REF!</definedName>
    <definedName name="ghj">#REF!</definedName>
    <definedName name="HHHH" localSheetId="0">#REF!</definedName>
    <definedName name="HHHH">#REF!</definedName>
    <definedName name="KLO" localSheetId="0">#REF!</definedName>
    <definedName name="KLO">#REF!</definedName>
    <definedName name="mnb" localSheetId="0">#REF!</definedName>
    <definedName name="mnb">#REF!</definedName>
    <definedName name="poi" localSheetId="0">#REF!</definedName>
    <definedName name="poi">#REF!</definedName>
    <definedName name="rere" localSheetId="0">#REF!</definedName>
    <definedName name="rere">#REF!</definedName>
    <definedName name="SIGN" localSheetId="0">#REF!</definedName>
    <definedName name="SIGN">#REF!</definedName>
    <definedName name="vbh" localSheetId="0">#REF!</definedName>
    <definedName name="vbh">#REF!</definedName>
    <definedName name="куку" localSheetId="0">#REF!</definedName>
    <definedName name="куку">#REF!</definedName>
    <definedName name="МИХ" localSheetId="0">#REF!</definedName>
    <definedName name="МИХ">#REF!</definedName>
    <definedName name="НОВ" localSheetId="0">#REF!</definedName>
    <definedName name="НОВ">#REF!</definedName>
    <definedName name="_xlnm.Print_Area" localSheetId="0">'Приложение к постановлению'!$A$1:$I$429</definedName>
    <definedName name="ООО" localSheetId="0">#REF!</definedName>
    <definedName name="ООО">#REF!</definedName>
    <definedName name="ПР" localSheetId="0">#REF!</definedName>
    <definedName name="ПР">#REF!</definedName>
    <definedName name="ПРИЛ" localSheetId="0">#REF!</definedName>
    <definedName name="ПРИЛ">#REF!</definedName>
    <definedName name="про" localSheetId="0">#REF!</definedName>
    <definedName name="про">#REF!</definedName>
    <definedName name="ТАН" localSheetId="0">#REF!</definedName>
    <definedName name="ТАН">#REF!</definedName>
    <definedName name="таня" localSheetId="0">#REF!</definedName>
    <definedName name="таня">#REF!</definedName>
    <definedName name="ФВЫ" localSheetId="0">#REF!</definedName>
    <definedName name="ФВЫ">#REF!</definedName>
    <definedName name="щшг" localSheetId="0">#REF!</definedName>
    <definedName name="щшг">#REF!</definedName>
    <definedName name="ъэю" localSheetId="0">#REF!</definedName>
    <definedName name="ъэ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6" i="46" l="1"/>
  <c r="H306" i="46"/>
  <c r="I429" i="46" l="1"/>
  <c r="H429" i="46"/>
  <c r="G429" i="46"/>
  <c r="F429" i="46"/>
  <c r="E429" i="46"/>
  <c r="D428" i="46"/>
  <c r="D429" i="46" s="1"/>
  <c r="I426" i="46"/>
  <c r="I427" i="46" s="1"/>
  <c r="H426" i="46"/>
  <c r="H427" i="46" s="1"/>
  <c r="G426" i="46"/>
  <c r="G427" i="46" s="1"/>
  <c r="F426" i="46"/>
  <c r="F427" i="46" s="1"/>
  <c r="E426" i="46"/>
  <c r="E427" i="46" s="1"/>
  <c r="D426" i="46"/>
  <c r="D427" i="46" s="1"/>
  <c r="I424" i="46"/>
  <c r="G424" i="46"/>
  <c r="F424" i="46"/>
  <c r="E424" i="46"/>
  <c r="H423" i="46"/>
  <c r="H415" i="46" s="1"/>
  <c r="D423" i="46"/>
  <c r="D415" i="46" s="1"/>
  <c r="H422" i="46"/>
  <c r="H414" i="46" s="1"/>
  <c r="H421" i="46"/>
  <c r="H413" i="46" s="1"/>
  <c r="D421" i="46"/>
  <c r="D413" i="46" s="1"/>
  <c r="H420" i="46"/>
  <c r="D419" i="46"/>
  <c r="D418" i="46"/>
  <c r="D410" i="46" s="1"/>
  <c r="D417" i="46"/>
  <c r="I415" i="46"/>
  <c r="G415" i="46"/>
  <c r="F415" i="46"/>
  <c r="E415" i="46"/>
  <c r="I414" i="46"/>
  <c r="G414" i="46"/>
  <c r="F414" i="46"/>
  <c r="E414" i="46"/>
  <c r="I413" i="46"/>
  <c r="G413" i="46"/>
  <c r="F413" i="46"/>
  <c r="E413" i="46"/>
  <c r="I412" i="46"/>
  <c r="H412" i="46"/>
  <c r="G412" i="46"/>
  <c r="F412" i="46"/>
  <c r="E412" i="46"/>
  <c r="I411" i="46"/>
  <c r="H411" i="46"/>
  <c r="G411" i="46"/>
  <c r="F411" i="46"/>
  <c r="E411" i="46"/>
  <c r="D411" i="46"/>
  <c r="I410" i="46"/>
  <c r="H410" i="46"/>
  <c r="G410" i="46"/>
  <c r="F410" i="46"/>
  <c r="F416" i="46" s="1"/>
  <c r="E410" i="46"/>
  <c r="I409" i="46"/>
  <c r="I416" i="46" s="1"/>
  <c r="H409" i="46"/>
  <c r="G409" i="46"/>
  <c r="F409" i="46"/>
  <c r="E409" i="46"/>
  <c r="D409" i="46"/>
  <c r="I407" i="46"/>
  <c r="H407" i="46"/>
  <c r="G407" i="46"/>
  <c r="F407" i="46"/>
  <c r="E407" i="46"/>
  <c r="D406" i="46"/>
  <c r="D405" i="46"/>
  <c r="I404" i="46"/>
  <c r="H404" i="46"/>
  <c r="G404" i="46"/>
  <c r="F404" i="46"/>
  <c r="E404" i="46"/>
  <c r="D403" i="46"/>
  <c r="D402" i="46"/>
  <c r="D404" i="46" s="1"/>
  <c r="I401" i="46"/>
  <c r="H401" i="46"/>
  <c r="G401" i="46"/>
  <c r="F401" i="46"/>
  <c r="E401" i="46"/>
  <c r="H400" i="46"/>
  <c r="D400" i="46"/>
  <c r="H399" i="46"/>
  <c r="D399" i="46" s="1"/>
  <c r="D398" i="46"/>
  <c r="I397" i="46"/>
  <c r="H397" i="46"/>
  <c r="G397" i="46"/>
  <c r="F397" i="46"/>
  <c r="E397" i="46"/>
  <c r="D396" i="46"/>
  <c r="D395" i="46"/>
  <c r="I393" i="46"/>
  <c r="H393" i="46"/>
  <c r="G393" i="46"/>
  <c r="F393" i="46"/>
  <c r="E393" i="46"/>
  <c r="D393" i="46" s="1"/>
  <c r="I392" i="46"/>
  <c r="H392" i="46"/>
  <c r="G392" i="46"/>
  <c r="F392" i="46"/>
  <c r="F394" i="46" s="1"/>
  <c r="E392" i="46"/>
  <c r="I391" i="46"/>
  <c r="I394" i="46" s="1"/>
  <c r="H391" i="46"/>
  <c r="H394" i="46" s="1"/>
  <c r="G391" i="46"/>
  <c r="F391" i="46"/>
  <c r="E391" i="46"/>
  <c r="I389" i="46"/>
  <c r="F389" i="46"/>
  <c r="E389" i="46"/>
  <c r="H388" i="46"/>
  <c r="H389" i="46" s="1"/>
  <c r="G388" i="46"/>
  <c r="G389" i="46" s="1"/>
  <c r="I387" i="46"/>
  <c r="F387" i="46"/>
  <c r="E387" i="46"/>
  <c r="H361" i="46"/>
  <c r="G386" i="46"/>
  <c r="H385" i="46"/>
  <c r="D385" i="46"/>
  <c r="I384" i="46"/>
  <c r="H384" i="46"/>
  <c r="G384" i="46"/>
  <c r="F384" i="46"/>
  <c r="E384" i="46"/>
  <c r="D383" i="46"/>
  <c r="D384" i="46" s="1"/>
  <c r="I382" i="46"/>
  <c r="H382" i="46"/>
  <c r="G382" i="46"/>
  <c r="F382" i="46"/>
  <c r="E382" i="46"/>
  <c r="D381" i="46"/>
  <c r="D382" i="46" s="1"/>
  <c r="I380" i="46"/>
  <c r="H380" i="46"/>
  <c r="G380" i="46"/>
  <c r="F380" i="46"/>
  <c r="E380" i="46"/>
  <c r="D379" i="46"/>
  <c r="D378" i="46"/>
  <c r="D377" i="46"/>
  <c r="D376" i="46"/>
  <c r="D380" i="46" s="1"/>
  <c r="D375" i="46"/>
  <c r="D374" i="46"/>
  <c r="D373" i="46"/>
  <c r="I372" i="46"/>
  <c r="G372" i="46"/>
  <c r="F372" i="46"/>
  <c r="E372" i="46"/>
  <c r="D371" i="46"/>
  <c r="D363" i="46" s="1"/>
  <c r="D370" i="46"/>
  <c r="D369" i="46"/>
  <c r="H368" i="46"/>
  <c r="H360" i="46" s="1"/>
  <c r="D367" i="46"/>
  <c r="D366" i="46"/>
  <c r="D365" i="46"/>
  <c r="I363" i="46"/>
  <c r="H363" i="46"/>
  <c r="G363" i="46"/>
  <c r="F363" i="46"/>
  <c r="E363" i="46"/>
  <c r="I362" i="46"/>
  <c r="H362" i="46"/>
  <c r="G362" i="46"/>
  <c r="F362" i="46"/>
  <c r="E362" i="46"/>
  <c r="I361" i="46"/>
  <c r="F361" i="46"/>
  <c r="E361" i="46"/>
  <c r="I360" i="46"/>
  <c r="F360" i="46"/>
  <c r="E360" i="46"/>
  <c r="I359" i="46"/>
  <c r="H359" i="46"/>
  <c r="G359" i="46"/>
  <c r="F359" i="46"/>
  <c r="E359" i="46"/>
  <c r="I358" i="46"/>
  <c r="H358" i="46"/>
  <c r="G358" i="46"/>
  <c r="F358" i="46"/>
  <c r="E358" i="46"/>
  <c r="D358" i="46"/>
  <c r="I357" i="46"/>
  <c r="H357" i="46"/>
  <c r="G357" i="46"/>
  <c r="F357" i="46"/>
  <c r="E357" i="46"/>
  <c r="D357" i="46"/>
  <c r="I355" i="46"/>
  <c r="G355" i="46"/>
  <c r="F355" i="46"/>
  <c r="E355" i="46"/>
  <c r="H354" i="46"/>
  <c r="H353" i="46"/>
  <c r="D353" i="46" s="1"/>
  <c r="D352" i="46"/>
  <c r="I351" i="46"/>
  <c r="H351" i="46"/>
  <c r="F351" i="46"/>
  <c r="E351" i="46"/>
  <c r="H350" i="46"/>
  <c r="G350" i="46"/>
  <c r="G351" i="46" s="1"/>
  <c r="D349" i="46"/>
  <c r="D348" i="46"/>
  <c r="D342" i="46" s="1"/>
  <c r="D347" i="46"/>
  <c r="D346" i="46"/>
  <c r="D340" i="46" s="1"/>
  <c r="I344" i="46"/>
  <c r="F344" i="46"/>
  <c r="E344" i="46"/>
  <c r="I343" i="46"/>
  <c r="G343" i="46"/>
  <c r="F343" i="46"/>
  <c r="E343" i="46"/>
  <c r="I342" i="46"/>
  <c r="H342" i="46"/>
  <c r="G342" i="46"/>
  <c r="F342" i="46"/>
  <c r="E342" i="46"/>
  <c r="I341" i="46"/>
  <c r="H341" i="46"/>
  <c r="G341" i="46"/>
  <c r="F341" i="46"/>
  <c r="E341" i="46"/>
  <c r="D341" i="46"/>
  <c r="I340" i="46"/>
  <c r="H340" i="46"/>
  <c r="G340" i="46"/>
  <c r="F340" i="46"/>
  <c r="E340" i="46"/>
  <c r="I338" i="46"/>
  <c r="H338" i="46"/>
  <c r="F338" i="46"/>
  <c r="E338" i="46"/>
  <c r="G337" i="46"/>
  <c r="G315" i="46" s="1"/>
  <c r="G336" i="46"/>
  <c r="D336" i="46" s="1"/>
  <c r="I335" i="46"/>
  <c r="H335" i="46"/>
  <c r="F335" i="46"/>
  <c r="E335" i="46"/>
  <c r="G334" i="46"/>
  <c r="G335" i="46" s="1"/>
  <c r="I333" i="46"/>
  <c r="F333" i="46"/>
  <c r="E333" i="46"/>
  <c r="H332" i="46"/>
  <c r="H333" i="46" s="1"/>
  <c r="G332" i="46"/>
  <c r="G333" i="46" s="1"/>
  <c r="D332" i="46"/>
  <c r="D333" i="46" s="1"/>
  <c r="I331" i="46"/>
  <c r="H331" i="46"/>
  <c r="G331" i="46"/>
  <c r="F331" i="46"/>
  <c r="E331" i="46"/>
  <c r="D330" i="46"/>
  <c r="D331" i="46" s="1"/>
  <c r="I329" i="46"/>
  <c r="H329" i="46"/>
  <c r="G329" i="46"/>
  <c r="F329" i="46"/>
  <c r="E329" i="46"/>
  <c r="D328" i="46"/>
  <c r="D313" i="46" s="1"/>
  <c r="D327" i="46"/>
  <c r="D326" i="46"/>
  <c r="I325" i="46"/>
  <c r="H325" i="46"/>
  <c r="G325" i="46"/>
  <c r="F325" i="46"/>
  <c r="E325" i="46"/>
  <c r="D324" i="46"/>
  <c r="D323" i="46"/>
  <c r="D325" i="46" s="1"/>
  <c r="I322" i="46"/>
  <c r="G322" i="46"/>
  <c r="F322" i="46"/>
  <c r="E322" i="46"/>
  <c r="H321" i="46"/>
  <c r="D321" i="46" s="1"/>
  <c r="H320" i="46"/>
  <c r="H314" i="46" s="1"/>
  <c r="D319" i="46"/>
  <c r="D318" i="46"/>
  <c r="D312" i="46" s="1"/>
  <c r="D317" i="46"/>
  <c r="I315" i="46"/>
  <c r="F315" i="46"/>
  <c r="E315" i="46"/>
  <c r="I314" i="46"/>
  <c r="F314" i="46"/>
  <c r="E314" i="46"/>
  <c r="I313" i="46"/>
  <c r="H313" i="46"/>
  <c r="H179" i="46" s="1"/>
  <c r="G313" i="46"/>
  <c r="F313" i="46"/>
  <c r="E313" i="46"/>
  <c r="I312" i="46"/>
  <c r="I316" i="46" s="1"/>
  <c r="H312" i="46"/>
  <c r="G312" i="46"/>
  <c r="F312" i="46"/>
  <c r="E312" i="46"/>
  <c r="I311" i="46"/>
  <c r="H311" i="46"/>
  <c r="G311" i="46"/>
  <c r="F311" i="46"/>
  <c r="E311" i="46"/>
  <c r="D311" i="46"/>
  <c r="I309" i="46"/>
  <c r="H309" i="46"/>
  <c r="H301" i="46" s="1"/>
  <c r="G309" i="46"/>
  <c r="G301" i="46" s="1"/>
  <c r="F309" i="46"/>
  <c r="E309" i="46"/>
  <c r="E301" i="46" s="1"/>
  <c r="D308" i="46"/>
  <c r="D307" i="46"/>
  <c r="D306" i="46"/>
  <c r="D305" i="46"/>
  <c r="D297" i="46" s="1"/>
  <c r="D304" i="46"/>
  <c r="D296" i="46" s="1"/>
  <c r="D303" i="46"/>
  <c r="D295" i="46" s="1"/>
  <c r="D302" i="46"/>
  <c r="I301" i="46"/>
  <c r="F301" i="46"/>
  <c r="I300" i="46"/>
  <c r="H300" i="46"/>
  <c r="G300" i="46"/>
  <c r="F300" i="46"/>
  <c r="E300" i="46"/>
  <c r="D300" i="46" s="1"/>
  <c r="I299" i="46"/>
  <c r="H299" i="46"/>
  <c r="G299" i="46"/>
  <c r="F299" i="46"/>
  <c r="E299" i="46"/>
  <c r="E182" i="46" s="1"/>
  <c r="D299" i="46"/>
  <c r="I298" i="46"/>
  <c r="H298" i="46"/>
  <c r="G298" i="46"/>
  <c r="F298" i="46"/>
  <c r="E298" i="46"/>
  <c r="D298" i="46"/>
  <c r="I297" i="46"/>
  <c r="H297" i="46"/>
  <c r="G297" i="46"/>
  <c r="F297" i="46"/>
  <c r="E297" i="46"/>
  <c r="E180" i="46" s="1"/>
  <c r="I296" i="46"/>
  <c r="H296" i="46"/>
  <c r="G296" i="46"/>
  <c r="F296" i="46"/>
  <c r="E296" i="46"/>
  <c r="I295" i="46"/>
  <c r="H295" i="46"/>
  <c r="G295" i="46"/>
  <c r="F295" i="46"/>
  <c r="E295" i="46"/>
  <c r="I294" i="46"/>
  <c r="H294" i="46"/>
  <c r="G294" i="46"/>
  <c r="F294" i="46"/>
  <c r="E294" i="46"/>
  <c r="D294" i="46"/>
  <c r="I292" i="46"/>
  <c r="H292" i="46"/>
  <c r="G292" i="46"/>
  <c r="F292" i="46"/>
  <c r="E292" i="46"/>
  <c r="D291" i="46"/>
  <c r="D290" i="46"/>
  <c r="D289" i="46"/>
  <c r="D292" i="46" s="1"/>
  <c r="I288" i="46"/>
  <c r="H288" i="46"/>
  <c r="G288" i="46"/>
  <c r="F288" i="46"/>
  <c r="E288" i="46"/>
  <c r="D287" i="46"/>
  <c r="D286" i="46"/>
  <c r="I285" i="46"/>
  <c r="G285" i="46"/>
  <c r="F285" i="46"/>
  <c r="E285" i="46"/>
  <c r="D284" i="46"/>
  <c r="D283" i="46"/>
  <c r="H282" i="46"/>
  <c r="D282" i="46"/>
  <c r="H281" i="46"/>
  <c r="H285" i="46" s="1"/>
  <c r="D280" i="46"/>
  <c r="D279" i="46"/>
  <c r="D278" i="46"/>
  <c r="D270" i="46" s="1"/>
  <c r="I276" i="46"/>
  <c r="H276" i="46"/>
  <c r="G276" i="46"/>
  <c r="F276" i="46"/>
  <c r="E276" i="46"/>
  <c r="I275" i="46"/>
  <c r="H275" i="46"/>
  <c r="G275" i="46"/>
  <c r="F275" i="46"/>
  <c r="E275" i="46"/>
  <c r="I274" i="46"/>
  <c r="H274" i="46"/>
  <c r="G274" i="46"/>
  <c r="F274" i="46"/>
  <c r="E274" i="46"/>
  <c r="I273" i="46"/>
  <c r="G273" i="46"/>
  <c r="F273" i="46"/>
  <c r="E273" i="46"/>
  <c r="I272" i="46"/>
  <c r="H272" i="46"/>
  <c r="G272" i="46"/>
  <c r="F272" i="46"/>
  <c r="D272" i="46" s="1"/>
  <c r="E272" i="46"/>
  <c r="I271" i="46"/>
  <c r="H271" i="46"/>
  <c r="G271" i="46"/>
  <c r="G277" i="46" s="1"/>
  <c r="F271" i="46"/>
  <c r="E271" i="46"/>
  <c r="D271" i="46"/>
  <c r="I270" i="46"/>
  <c r="I177" i="46" s="1"/>
  <c r="H270" i="46"/>
  <c r="G270" i="46"/>
  <c r="F270" i="46"/>
  <c r="F277" i="46" s="1"/>
  <c r="E270" i="46"/>
  <c r="I268" i="46"/>
  <c r="F268" i="46"/>
  <c r="E268" i="46"/>
  <c r="H267" i="46"/>
  <c r="H268" i="46" s="1"/>
  <c r="G267" i="46"/>
  <c r="D267" i="46" s="1"/>
  <c r="D268" i="46" s="1"/>
  <c r="I266" i="46"/>
  <c r="H266" i="46"/>
  <c r="F266" i="46"/>
  <c r="E266" i="46"/>
  <c r="G265" i="46"/>
  <c r="G266" i="46" s="1"/>
  <c r="I264" i="46"/>
  <c r="H264" i="46"/>
  <c r="F264" i="46"/>
  <c r="E264" i="46"/>
  <c r="G263" i="46"/>
  <c r="D263" i="46"/>
  <c r="G262" i="46"/>
  <c r="D262" i="46" s="1"/>
  <c r="I261" i="46"/>
  <c r="H261" i="46"/>
  <c r="F261" i="46"/>
  <c r="E261" i="46"/>
  <c r="G260" i="46"/>
  <c r="G261" i="46" s="1"/>
  <c r="D260" i="46"/>
  <c r="D259" i="46"/>
  <c r="D258" i="46"/>
  <c r="D257" i="46"/>
  <c r="I256" i="46"/>
  <c r="H256" i="46"/>
  <c r="G256" i="46"/>
  <c r="F256" i="46"/>
  <c r="E256" i="46"/>
  <c r="D255" i="46"/>
  <c r="H254" i="46"/>
  <c r="G254" i="46"/>
  <c r="D254" i="46"/>
  <c r="D253" i="46"/>
  <c r="D252" i="46"/>
  <c r="D251" i="46"/>
  <c r="I250" i="46"/>
  <c r="H250" i="46"/>
  <c r="G250" i="46"/>
  <c r="F250" i="46"/>
  <c r="E250" i="46"/>
  <c r="D250" i="46"/>
  <c r="D249" i="46"/>
  <c r="D248" i="46"/>
  <c r="I247" i="46"/>
  <c r="H247" i="46"/>
  <c r="G247" i="46"/>
  <c r="F247" i="46"/>
  <c r="E247" i="46"/>
  <c r="D246" i="46"/>
  <c r="D245" i="46"/>
  <c r="D247" i="46" s="1"/>
  <c r="I244" i="46"/>
  <c r="H244" i="46"/>
  <c r="G244" i="46"/>
  <c r="F244" i="46"/>
  <c r="E244" i="46"/>
  <c r="D243" i="46"/>
  <c r="D244" i="46" s="1"/>
  <c r="D242" i="46"/>
  <c r="I241" i="46"/>
  <c r="H241" i="46"/>
  <c r="G241" i="46"/>
  <c r="F241" i="46"/>
  <c r="E241" i="46"/>
  <c r="D240" i="46"/>
  <c r="D239" i="46"/>
  <c r="I238" i="46"/>
  <c r="G238" i="46"/>
  <c r="E238" i="46"/>
  <c r="H237" i="46"/>
  <c r="H238" i="46" s="1"/>
  <c r="F237" i="46"/>
  <c r="F238" i="46" s="1"/>
  <c r="D236" i="46"/>
  <c r="I235" i="46"/>
  <c r="H235" i="46"/>
  <c r="G235" i="46"/>
  <c r="F235" i="46"/>
  <c r="E235" i="46"/>
  <c r="D234" i="46"/>
  <c r="D233" i="46"/>
  <c r="D232" i="46"/>
  <c r="D231" i="46"/>
  <c r="D230" i="46"/>
  <c r="I229" i="46"/>
  <c r="G229" i="46"/>
  <c r="F229" i="46"/>
  <c r="E229" i="46"/>
  <c r="H228" i="46"/>
  <c r="D228" i="46" s="1"/>
  <c r="H227" i="46"/>
  <c r="D227" i="46" s="1"/>
  <c r="H226" i="46"/>
  <c r="H229" i="46" s="1"/>
  <c r="D225" i="46"/>
  <c r="D224" i="46"/>
  <c r="D223" i="46"/>
  <c r="D222" i="46"/>
  <c r="I221" i="46"/>
  <c r="H221" i="46"/>
  <c r="G221" i="46"/>
  <c r="F221" i="46"/>
  <c r="E221" i="46"/>
  <c r="D220" i="46"/>
  <c r="D219" i="46"/>
  <c r="D218" i="46"/>
  <c r="I217" i="46"/>
  <c r="G217" i="46"/>
  <c r="F217" i="46"/>
  <c r="E217" i="46"/>
  <c r="D216" i="46"/>
  <c r="D215" i="46"/>
  <c r="H214" i="46"/>
  <c r="D214" i="46" s="1"/>
  <c r="H213" i="46"/>
  <c r="D213" i="46" s="1"/>
  <c r="D212" i="46"/>
  <c r="D211" i="46"/>
  <c r="D210" i="46"/>
  <c r="I209" i="46"/>
  <c r="G209" i="46"/>
  <c r="F209" i="46"/>
  <c r="E209" i="46"/>
  <c r="D208" i="46"/>
  <c r="D207" i="46"/>
  <c r="H206" i="46"/>
  <c r="D206" i="46" s="1"/>
  <c r="H205" i="46"/>
  <c r="D205" i="46" s="1"/>
  <c r="D204" i="46"/>
  <c r="D203" i="46"/>
  <c r="D202" i="46"/>
  <c r="G201" i="46"/>
  <c r="F201" i="46"/>
  <c r="E201" i="46"/>
  <c r="D200" i="46"/>
  <c r="H199" i="46"/>
  <c r="D199" i="46" s="1"/>
  <c r="I198" i="46"/>
  <c r="I190" i="46" s="1"/>
  <c r="I181" i="46" s="1"/>
  <c r="H198" i="46"/>
  <c r="D198" i="46" s="1"/>
  <c r="H197" i="46"/>
  <c r="D197" i="46" s="1"/>
  <c r="D196" i="46"/>
  <c r="D195" i="46"/>
  <c r="D194" i="46"/>
  <c r="I192" i="46"/>
  <c r="G192" i="46"/>
  <c r="F192" i="46"/>
  <c r="E192" i="46"/>
  <c r="I191" i="46"/>
  <c r="G191" i="46"/>
  <c r="F191" i="46"/>
  <c r="E191" i="46"/>
  <c r="F190" i="46"/>
  <c r="E190" i="46"/>
  <c r="I189" i="46"/>
  <c r="G189" i="46"/>
  <c r="F189" i="46"/>
  <c r="E189" i="46"/>
  <c r="I188" i="46"/>
  <c r="I179" i="46" s="1"/>
  <c r="H188" i="46"/>
  <c r="G188" i="46"/>
  <c r="G179" i="46" s="1"/>
  <c r="F188" i="46"/>
  <c r="E188" i="46"/>
  <c r="I187" i="46"/>
  <c r="H187" i="46"/>
  <c r="G187" i="46"/>
  <c r="F187" i="46"/>
  <c r="E187" i="46"/>
  <c r="E178" i="46" s="1"/>
  <c r="I186" i="46"/>
  <c r="H186" i="46"/>
  <c r="G186" i="46"/>
  <c r="G177" i="46" s="1"/>
  <c r="F186" i="46"/>
  <c r="E186" i="46"/>
  <c r="I183" i="46"/>
  <c r="G183" i="46"/>
  <c r="I175" i="46"/>
  <c r="H175" i="46"/>
  <c r="G175" i="46"/>
  <c r="F175" i="46"/>
  <c r="E175" i="46"/>
  <c r="D175" i="46"/>
  <c r="D174" i="46"/>
  <c r="I173" i="46"/>
  <c r="H173" i="46"/>
  <c r="H172" i="46"/>
  <c r="G172" i="46"/>
  <c r="G173" i="46" s="1"/>
  <c r="F172" i="46"/>
  <c r="F173" i="46" s="1"/>
  <c r="E172" i="46"/>
  <c r="E173" i="46" s="1"/>
  <c r="D172" i="46"/>
  <c r="D173" i="46" s="1"/>
  <c r="I171" i="46"/>
  <c r="G171" i="46"/>
  <c r="E171" i="46"/>
  <c r="H170" i="46"/>
  <c r="H171" i="46" s="1"/>
  <c r="F170" i="46"/>
  <c r="D170" i="46" s="1"/>
  <c r="D166" i="46" s="1"/>
  <c r="D169" i="46"/>
  <c r="D168" i="46"/>
  <c r="D164" i="46" s="1"/>
  <c r="I166" i="46"/>
  <c r="I147" i="46" s="1"/>
  <c r="H166" i="46"/>
  <c r="G166" i="46"/>
  <c r="F166" i="46"/>
  <c r="F147" i="46" s="1"/>
  <c r="E166" i="46"/>
  <c r="I165" i="46"/>
  <c r="H165" i="46"/>
  <c r="H167" i="46" s="1"/>
  <c r="G165" i="46"/>
  <c r="F165" i="46"/>
  <c r="E165" i="46"/>
  <c r="D165" i="46"/>
  <c r="H164" i="46"/>
  <c r="G164" i="46"/>
  <c r="G167" i="46" s="1"/>
  <c r="F164" i="46"/>
  <c r="E164" i="46"/>
  <c r="I163" i="46"/>
  <c r="H163" i="46"/>
  <c r="F163" i="46"/>
  <c r="E163" i="46"/>
  <c r="G162" i="46"/>
  <c r="D162" i="46" s="1"/>
  <c r="D163" i="46" s="1"/>
  <c r="D161" i="46"/>
  <c r="D158" i="46" s="1"/>
  <c r="E160" i="46"/>
  <c r="I159" i="46"/>
  <c r="I160" i="46" s="1"/>
  <c r="H159" i="46"/>
  <c r="H147" i="46" s="1"/>
  <c r="G159" i="46"/>
  <c r="F159" i="46"/>
  <c r="E159" i="46"/>
  <c r="H158" i="46"/>
  <c r="H160" i="46" s="1"/>
  <c r="G158" i="46"/>
  <c r="F158" i="46"/>
  <c r="F145" i="46" s="1"/>
  <c r="E158" i="46"/>
  <c r="I157" i="46"/>
  <c r="H157" i="46"/>
  <c r="G157" i="46"/>
  <c r="F157" i="46"/>
  <c r="E157" i="46"/>
  <c r="G156" i="46"/>
  <c r="F156" i="46"/>
  <c r="D156" i="46"/>
  <c r="D155" i="46"/>
  <c r="D157" i="46" s="1"/>
  <c r="I154" i="46"/>
  <c r="H154" i="46"/>
  <c r="G154" i="46"/>
  <c r="F154" i="46"/>
  <c r="E154" i="46"/>
  <c r="D153" i="46"/>
  <c r="D152" i="46"/>
  <c r="D154" i="46" s="1"/>
  <c r="I150" i="46"/>
  <c r="H150" i="46"/>
  <c r="G150" i="46"/>
  <c r="F150" i="46"/>
  <c r="E150" i="46"/>
  <c r="I149" i="46"/>
  <c r="H149" i="46"/>
  <c r="H151" i="46" s="1"/>
  <c r="G149" i="46"/>
  <c r="G151" i="46" s="1"/>
  <c r="F149" i="46"/>
  <c r="F151" i="46" s="1"/>
  <c r="E149" i="46"/>
  <c r="E151" i="46" s="1"/>
  <c r="G147" i="46"/>
  <c r="E147" i="46"/>
  <c r="G146" i="46"/>
  <c r="E146" i="46"/>
  <c r="H145" i="46"/>
  <c r="I144" i="46"/>
  <c r="H144" i="46"/>
  <c r="G144" i="46"/>
  <c r="F144" i="46"/>
  <c r="E144" i="46"/>
  <c r="D143" i="46"/>
  <c r="D142" i="46"/>
  <c r="D144" i="46" s="1"/>
  <c r="I140" i="46"/>
  <c r="H140" i="46"/>
  <c r="H127" i="46" s="1"/>
  <c r="G140" i="46"/>
  <c r="F140" i="46"/>
  <c r="E140" i="46"/>
  <c r="I139" i="46"/>
  <c r="I141" i="46" s="1"/>
  <c r="H139" i="46"/>
  <c r="G139" i="46"/>
  <c r="G141" i="46" s="1"/>
  <c r="F139" i="46"/>
  <c r="F141" i="46" s="1"/>
  <c r="E139" i="46"/>
  <c r="E141" i="46" s="1"/>
  <c r="D139" i="46"/>
  <c r="I138" i="46"/>
  <c r="G138" i="46"/>
  <c r="F138" i="46"/>
  <c r="E138" i="46"/>
  <c r="H137" i="46"/>
  <c r="D137" i="46" s="1"/>
  <c r="D132" i="46" s="1"/>
  <c r="H136" i="46"/>
  <c r="H138" i="46" s="1"/>
  <c r="D136" i="46"/>
  <c r="D131" i="46" s="1"/>
  <c r="D125" i="46" s="1"/>
  <c r="D135" i="46"/>
  <c r="D130" i="46" s="1"/>
  <c r="D124" i="46" s="1"/>
  <c r="D134" i="46"/>
  <c r="I132" i="46"/>
  <c r="I126" i="46" s="1"/>
  <c r="G132" i="46"/>
  <c r="F132" i="46"/>
  <c r="E132" i="46"/>
  <c r="I131" i="46"/>
  <c r="G131" i="46"/>
  <c r="F131" i="46"/>
  <c r="E131" i="46"/>
  <c r="I130" i="46"/>
  <c r="H130" i="46"/>
  <c r="H124" i="46" s="1"/>
  <c r="G130" i="46"/>
  <c r="F130" i="46"/>
  <c r="E130" i="46"/>
  <c r="I129" i="46"/>
  <c r="H129" i="46"/>
  <c r="G129" i="46"/>
  <c r="F129" i="46"/>
  <c r="E129" i="46"/>
  <c r="I127" i="46"/>
  <c r="G127" i="46"/>
  <c r="F127" i="46"/>
  <c r="E127" i="46"/>
  <c r="G126" i="46"/>
  <c r="E126" i="46"/>
  <c r="I125" i="46"/>
  <c r="G125" i="46"/>
  <c r="F125" i="46"/>
  <c r="E125" i="46"/>
  <c r="I124" i="46"/>
  <c r="G124" i="46"/>
  <c r="F124" i="46"/>
  <c r="E124" i="46"/>
  <c r="E128" i="46" s="1"/>
  <c r="I123" i="46"/>
  <c r="H123" i="46"/>
  <c r="G123" i="46"/>
  <c r="F123" i="46"/>
  <c r="E123" i="46"/>
  <c r="I122" i="46"/>
  <c r="H122" i="46"/>
  <c r="G122" i="46"/>
  <c r="F122" i="46"/>
  <c r="E122" i="46"/>
  <c r="D121" i="46"/>
  <c r="D118" i="46" s="1"/>
  <c r="D120" i="46"/>
  <c r="I118" i="46"/>
  <c r="I119" i="46" s="1"/>
  <c r="H118" i="46"/>
  <c r="G118" i="46"/>
  <c r="F118" i="46"/>
  <c r="E118" i="46"/>
  <c r="H117" i="46"/>
  <c r="H119" i="46" s="1"/>
  <c r="G117" i="46"/>
  <c r="G119" i="46" s="1"/>
  <c r="F117" i="46"/>
  <c r="F119" i="46" s="1"/>
  <c r="E117" i="46"/>
  <c r="E119" i="46" s="1"/>
  <c r="D117" i="46"/>
  <c r="D119" i="46" s="1"/>
  <c r="I116" i="46"/>
  <c r="H116" i="46"/>
  <c r="G116" i="46"/>
  <c r="F116" i="46"/>
  <c r="E116" i="46"/>
  <c r="D115" i="46"/>
  <c r="D112" i="46" s="1"/>
  <c r="D114" i="46"/>
  <c r="D116" i="46" s="1"/>
  <c r="F113" i="46"/>
  <c r="I112" i="46"/>
  <c r="I113" i="46" s="1"/>
  <c r="H112" i="46"/>
  <c r="H76" i="46" s="1"/>
  <c r="G112" i="46"/>
  <c r="F112" i="46"/>
  <c r="E112" i="46"/>
  <c r="H111" i="46"/>
  <c r="G111" i="46"/>
  <c r="G113" i="46" s="1"/>
  <c r="F111" i="46"/>
  <c r="E111" i="46"/>
  <c r="E113" i="46" s="1"/>
  <c r="D111" i="46"/>
  <c r="I110" i="46"/>
  <c r="H110" i="46"/>
  <c r="G110" i="46"/>
  <c r="F110" i="46"/>
  <c r="E110" i="46"/>
  <c r="D109" i="46"/>
  <c r="D108" i="46"/>
  <c r="D110" i="46" s="1"/>
  <c r="I107" i="46"/>
  <c r="H107" i="46"/>
  <c r="G107" i="46"/>
  <c r="F107" i="46"/>
  <c r="E107" i="46"/>
  <c r="D106" i="46"/>
  <c r="D105" i="46"/>
  <c r="D107" i="46" s="1"/>
  <c r="I104" i="46"/>
  <c r="H104" i="46"/>
  <c r="G104" i="46"/>
  <c r="F104" i="46"/>
  <c r="E104" i="46"/>
  <c r="D103" i="46"/>
  <c r="D97" i="46" s="1"/>
  <c r="D102" i="46"/>
  <c r="D104" i="46" s="1"/>
  <c r="I101" i="46"/>
  <c r="H101" i="46"/>
  <c r="G101" i="46"/>
  <c r="F101" i="46"/>
  <c r="E101" i="46"/>
  <c r="D100" i="46"/>
  <c r="D99" i="46"/>
  <c r="D101" i="46" s="1"/>
  <c r="I97" i="46"/>
  <c r="H97" i="46"/>
  <c r="G97" i="46"/>
  <c r="F97" i="46"/>
  <c r="E97" i="46"/>
  <c r="I96" i="46"/>
  <c r="I98" i="46" s="1"/>
  <c r="H96" i="46"/>
  <c r="H98" i="46" s="1"/>
  <c r="G96" i="46"/>
  <c r="F96" i="46"/>
  <c r="F98" i="46" s="1"/>
  <c r="E96" i="46"/>
  <c r="E75" i="46" s="1"/>
  <c r="I95" i="46"/>
  <c r="H95" i="46"/>
  <c r="G95" i="46"/>
  <c r="G92" i="46" s="1"/>
  <c r="F95" i="46"/>
  <c r="F92" i="46" s="1"/>
  <c r="E95" i="46"/>
  <c r="D94" i="46"/>
  <c r="D93" i="46"/>
  <c r="D95" i="46" s="1"/>
  <c r="I92" i="46"/>
  <c r="H92" i="46"/>
  <c r="E92" i="46"/>
  <c r="I91" i="46"/>
  <c r="H91" i="46"/>
  <c r="G91" i="46"/>
  <c r="F91" i="46"/>
  <c r="E91" i="46"/>
  <c r="D91" i="46"/>
  <c r="H90" i="46"/>
  <c r="G90" i="46"/>
  <c r="F90" i="46"/>
  <c r="E90" i="46"/>
  <c r="D90" i="46"/>
  <c r="D92" i="46" s="1"/>
  <c r="I89" i="46"/>
  <c r="I86" i="46" s="1"/>
  <c r="H89" i="46"/>
  <c r="H86" i="46" s="1"/>
  <c r="G89" i="46"/>
  <c r="G86" i="46" s="1"/>
  <c r="F89" i="46"/>
  <c r="E89" i="46"/>
  <c r="D88" i="46"/>
  <c r="D85" i="46" s="1"/>
  <c r="D87" i="46"/>
  <c r="D84" i="46" s="1"/>
  <c r="F86" i="46"/>
  <c r="E86" i="46"/>
  <c r="I85" i="46"/>
  <c r="H85" i="46"/>
  <c r="G85" i="46"/>
  <c r="F85" i="46"/>
  <c r="E85" i="46"/>
  <c r="I84" i="46"/>
  <c r="H84" i="46"/>
  <c r="G84" i="46"/>
  <c r="F84" i="46"/>
  <c r="E84" i="46"/>
  <c r="I83" i="46"/>
  <c r="H83" i="46"/>
  <c r="G83" i="46"/>
  <c r="F83" i="46"/>
  <c r="E83" i="46"/>
  <c r="D82" i="46"/>
  <c r="D83" i="46" s="1"/>
  <c r="D81" i="46"/>
  <c r="D78" i="46" s="1"/>
  <c r="I79" i="46"/>
  <c r="I76" i="46" s="1"/>
  <c r="H79" i="46"/>
  <c r="G79" i="46"/>
  <c r="F79" i="46"/>
  <c r="F76" i="46" s="1"/>
  <c r="E79" i="46"/>
  <c r="D79" i="46"/>
  <c r="I78" i="46"/>
  <c r="H78" i="46"/>
  <c r="H80" i="46" s="1"/>
  <c r="G78" i="46"/>
  <c r="G80" i="46" s="1"/>
  <c r="F78" i="46"/>
  <c r="F80" i="46" s="1"/>
  <c r="E78" i="46"/>
  <c r="F75" i="46"/>
  <c r="I74" i="46"/>
  <c r="H74" i="46"/>
  <c r="G74" i="46"/>
  <c r="F74" i="46"/>
  <c r="E74" i="46"/>
  <c r="D73" i="46"/>
  <c r="D72" i="46"/>
  <c r="F71" i="46"/>
  <c r="D71" i="46"/>
  <c r="D70" i="46"/>
  <c r="I69" i="46"/>
  <c r="H69" i="46"/>
  <c r="G69" i="46"/>
  <c r="E69" i="46"/>
  <c r="D68" i="46"/>
  <c r="D67" i="46"/>
  <c r="F66" i="46"/>
  <c r="D66" i="46" s="1"/>
  <c r="D65" i="46"/>
  <c r="I64" i="46"/>
  <c r="F64" i="46"/>
  <c r="E64" i="46"/>
  <c r="D63" i="46"/>
  <c r="D58" i="46" s="1"/>
  <c r="D29" i="46" s="1"/>
  <c r="D62" i="46"/>
  <c r="H61" i="46"/>
  <c r="D61" i="46" s="1"/>
  <c r="H60" i="46"/>
  <c r="H64" i="46" s="1"/>
  <c r="G60" i="46"/>
  <c r="I58" i="46"/>
  <c r="H58" i="46"/>
  <c r="G58" i="46"/>
  <c r="F58" i="46"/>
  <c r="E58" i="46"/>
  <c r="E29" i="46" s="1"/>
  <c r="I57" i="46"/>
  <c r="I28" i="46" s="1"/>
  <c r="H57" i="46"/>
  <c r="G57" i="46"/>
  <c r="F57" i="46"/>
  <c r="E57" i="46"/>
  <c r="E28" i="46" s="1"/>
  <c r="I56" i="46"/>
  <c r="H56" i="46"/>
  <c r="G56" i="46"/>
  <c r="E56" i="46"/>
  <c r="I55" i="46"/>
  <c r="F55" i="46"/>
  <c r="E55" i="46"/>
  <c r="I54" i="46"/>
  <c r="H54" i="46"/>
  <c r="G54" i="46"/>
  <c r="F54" i="46"/>
  <c r="E54" i="46"/>
  <c r="D53" i="46"/>
  <c r="D52" i="46"/>
  <c r="D51" i="46"/>
  <c r="D50" i="46"/>
  <c r="D49" i="46"/>
  <c r="D48" i="46"/>
  <c r="D47" i="46"/>
  <c r="I46" i="46"/>
  <c r="H46" i="46"/>
  <c r="G46" i="46"/>
  <c r="F46" i="46"/>
  <c r="D45" i="46"/>
  <c r="D44" i="46"/>
  <c r="G43" i="46"/>
  <c r="D43" i="46"/>
  <c r="G42" i="46"/>
  <c r="F42" i="46"/>
  <c r="E42" i="46"/>
  <c r="E46" i="46" s="1"/>
  <c r="D41" i="46"/>
  <c r="D40" i="46"/>
  <c r="I37" i="46"/>
  <c r="H37" i="46"/>
  <c r="G37" i="46"/>
  <c r="F37" i="46"/>
  <c r="E37" i="46"/>
  <c r="D37" i="46" s="1"/>
  <c r="I36" i="46"/>
  <c r="H36" i="46"/>
  <c r="G36" i="46"/>
  <c r="F36" i="46"/>
  <c r="E36" i="46"/>
  <c r="I35" i="46"/>
  <c r="H35" i="46"/>
  <c r="G35" i="46"/>
  <c r="G27" i="46" s="1"/>
  <c r="F35" i="46"/>
  <c r="E35" i="46"/>
  <c r="D35" i="46"/>
  <c r="I34" i="46"/>
  <c r="H34" i="46"/>
  <c r="G34" i="46"/>
  <c r="F34" i="46"/>
  <c r="E34" i="46"/>
  <c r="I33" i="46"/>
  <c r="H33" i="46"/>
  <c r="G33" i="46"/>
  <c r="F33" i="46"/>
  <c r="D33" i="46" s="1"/>
  <c r="D25" i="46" s="1"/>
  <c r="E33" i="46"/>
  <c r="I32" i="46"/>
  <c r="I24" i="46" s="1"/>
  <c r="H32" i="46"/>
  <c r="G32" i="46"/>
  <c r="F32" i="46"/>
  <c r="E32" i="46"/>
  <c r="I31" i="46"/>
  <c r="H31" i="46"/>
  <c r="G31" i="46"/>
  <c r="F31" i="46"/>
  <c r="E31" i="46"/>
  <c r="D31" i="46"/>
  <c r="I29" i="46"/>
  <c r="H29" i="46"/>
  <c r="G29" i="46"/>
  <c r="G20" i="46" s="1"/>
  <c r="F29" i="46"/>
  <c r="G28" i="46"/>
  <c r="F28" i="46"/>
  <c r="I27" i="46"/>
  <c r="H27" i="46"/>
  <c r="I25" i="46"/>
  <c r="H25" i="46"/>
  <c r="H16" i="46" s="1"/>
  <c r="G25" i="46"/>
  <c r="E25" i="46"/>
  <c r="G24" i="46"/>
  <c r="F24" i="46"/>
  <c r="E24" i="46"/>
  <c r="H23" i="46"/>
  <c r="G23" i="46"/>
  <c r="F23" i="46"/>
  <c r="D23" i="46"/>
  <c r="D113" i="46" l="1"/>
  <c r="E38" i="46"/>
  <c r="F59" i="46"/>
  <c r="G76" i="46"/>
  <c r="H113" i="46"/>
  <c r="E133" i="46"/>
  <c r="I151" i="46"/>
  <c r="F167" i="46"/>
  <c r="D201" i="46"/>
  <c r="D209" i="46"/>
  <c r="D187" i="46"/>
  <c r="G268" i="46"/>
  <c r="H273" i="46"/>
  <c r="H372" i="46"/>
  <c r="D401" i="46"/>
  <c r="D36" i="46"/>
  <c r="H55" i="46"/>
  <c r="H26" i="46" s="1"/>
  <c r="H30" i="46" s="1"/>
  <c r="I18" i="46"/>
  <c r="F133" i="46"/>
  <c r="I145" i="46"/>
  <c r="G160" i="46"/>
  <c r="G178" i="46"/>
  <c r="H277" i="46"/>
  <c r="I180" i="46"/>
  <c r="D309" i="46"/>
  <c r="H322" i="46"/>
  <c r="E345" i="46"/>
  <c r="F180" i="46"/>
  <c r="I38" i="46"/>
  <c r="F38" i="46"/>
  <c r="D34" i="46"/>
  <c r="I26" i="46"/>
  <c r="D74" i="46"/>
  <c r="E80" i="46"/>
  <c r="G133" i="46"/>
  <c r="D150" i="46"/>
  <c r="D188" i="46"/>
  <c r="D192" i="46"/>
  <c r="D265" i="46"/>
  <c r="D266" i="46" s="1"/>
  <c r="I277" i="46"/>
  <c r="H315" i="46"/>
  <c r="H316" i="46" s="1"/>
  <c r="F178" i="46"/>
  <c r="F184" i="46" s="1"/>
  <c r="D359" i="46"/>
  <c r="D391" i="46"/>
  <c r="H424" i="46"/>
  <c r="E23" i="46"/>
  <c r="F25" i="46"/>
  <c r="G38" i="46"/>
  <c r="D56" i="46"/>
  <c r="F126" i="46"/>
  <c r="F128" i="46" s="1"/>
  <c r="D159" i="46"/>
  <c r="D147" i="46" s="1"/>
  <c r="G163" i="46"/>
  <c r="I167" i="46"/>
  <c r="F171" i="46"/>
  <c r="G190" i="46"/>
  <c r="D241" i="46"/>
  <c r="D274" i="46"/>
  <c r="D276" i="46"/>
  <c r="E316" i="46"/>
  <c r="H343" i="46"/>
  <c r="H345" i="46" s="1"/>
  <c r="D362" i="46"/>
  <c r="H387" i="46"/>
  <c r="F179" i="46"/>
  <c r="F16" i="46" s="1"/>
  <c r="H38" i="46"/>
  <c r="F56" i="46"/>
  <c r="F27" i="46" s="1"/>
  <c r="D96" i="46"/>
  <c r="D98" i="46" s="1"/>
  <c r="D122" i="46"/>
  <c r="I16" i="46"/>
  <c r="I133" i="46"/>
  <c r="F316" i="46"/>
  <c r="D322" i="46"/>
  <c r="F182" i="46"/>
  <c r="D368" i="46"/>
  <c r="D386" i="46"/>
  <c r="D387" i="46" s="1"/>
  <c r="G394" i="46"/>
  <c r="I80" i="46"/>
  <c r="D138" i="46"/>
  <c r="E145" i="46"/>
  <c r="E16" i="46" s="1"/>
  <c r="G182" i="46"/>
  <c r="G19" i="46" s="1"/>
  <c r="D237" i="46"/>
  <c r="D238" i="46" s="1"/>
  <c r="D288" i="46"/>
  <c r="E181" i="46"/>
  <c r="F183" i="46"/>
  <c r="F20" i="46" s="1"/>
  <c r="D372" i="46"/>
  <c r="D397" i="46"/>
  <c r="D407" i="46"/>
  <c r="I23" i="46"/>
  <c r="F26" i="46"/>
  <c r="D60" i="46"/>
  <c r="D64" i="46" s="1"/>
  <c r="D76" i="46"/>
  <c r="G98" i="46"/>
  <c r="G128" i="46"/>
  <c r="H141" i="46"/>
  <c r="D149" i="46"/>
  <c r="D145" i="46" s="1"/>
  <c r="F193" i="46"/>
  <c r="D264" i="46"/>
  <c r="D275" i="46"/>
  <c r="E179" i="46"/>
  <c r="D179" i="46" s="1"/>
  <c r="F181" i="46"/>
  <c r="D320" i="46"/>
  <c r="I364" i="46"/>
  <c r="E394" i="46"/>
  <c r="E416" i="46"/>
  <c r="F30" i="46"/>
  <c r="F69" i="46"/>
  <c r="I128" i="46"/>
  <c r="D140" i="46"/>
  <c r="D141" i="46" s="1"/>
  <c r="F160" i="46"/>
  <c r="H217" i="46"/>
  <c r="D256" i="46"/>
  <c r="D261" i="46"/>
  <c r="D273" i="46"/>
  <c r="D277" i="46" s="1"/>
  <c r="E177" i="46"/>
  <c r="G314" i="46"/>
  <c r="D314" i="46" s="1"/>
  <c r="H355" i="46"/>
  <c r="E364" i="46"/>
  <c r="G416" i="46"/>
  <c r="F18" i="46"/>
  <c r="E76" i="46"/>
  <c r="E15" i="46" s="1"/>
  <c r="I20" i="46"/>
  <c r="D235" i="46"/>
  <c r="E277" i="46"/>
  <c r="F177" i="46"/>
  <c r="D329" i="46"/>
  <c r="F364" i="46"/>
  <c r="H24" i="46"/>
  <c r="D54" i="46"/>
  <c r="E26" i="46"/>
  <c r="E17" i="46" s="1"/>
  <c r="H28" i="46"/>
  <c r="D28" i="46" s="1"/>
  <c r="F14" i="46"/>
  <c r="G75" i="46"/>
  <c r="G14" i="46" s="1"/>
  <c r="D129" i="46"/>
  <c r="D123" i="46" s="1"/>
  <c r="G145" i="46"/>
  <c r="G148" i="46" s="1"/>
  <c r="E193" i="46"/>
  <c r="D221" i="46"/>
  <c r="D226" i="46"/>
  <c r="D190" i="46" s="1"/>
  <c r="I182" i="46"/>
  <c r="I19" i="46" s="1"/>
  <c r="I345" i="46"/>
  <c r="G15" i="46"/>
  <c r="D189" i="46"/>
  <c r="G345" i="46"/>
  <c r="D69" i="46"/>
  <c r="F19" i="46"/>
  <c r="E77" i="46"/>
  <c r="E14" i="46"/>
  <c r="E148" i="46"/>
  <c r="H364" i="46"/>
  <c r="D191" i="46"/>
  <c r="D75" i="46"/>
  <c r="D77" i="46" s="1"/>
  <c r="D80" i="46"/>
  <c r="D315" i="46"/>
  <c r="G181" i="46"/>
  <c r="G18" i="46" s="1"/>
  <c r="E20" i="46"/>
  <c r="D301" i="46"/>
  <c r="I30" i="46"/>
  <c r="D167" i="46"/>
  <c r="D160" i="46"/>
  <c r="I193" i="46"/>
  <c r="G316" i="46"/>
  <c r="H416" i="46"/>
  <c r="D338" i="46"/>
  <c r="G364" i="46"/>
  <c r="F77" i="46"/>
  <c r="G193" i="46"/>
  <c r="E27" i="46"/>
  <c r="D127" i="46"/>
  <c r="H178" i="46"/>
  <c r="H15" i="46" s="1"/>
  <c r="H189" i="46"/>
  <c r="H180" i="46" s="1"/>
  <c r="H191" i="46"/>
  <c r="H182" i="46" s="1"/>
  <c r="D182" i="46" s="1"/>
  <c r="D42" i="46"/>
  <c r="D46" i="46" s="1"/>
  <c r="H75" i="46"/>
  <c r="D89" i="46"/>
  <c r="D86" i="46" s="1"/>
  <c r="I178" i="46"/>
  <c r="I15" i="46" s="1"/>
  <c r="D281" i="46"/>
  <c r="D285" i="46" s="1"/>
  <c r="G387" i="46"/>
  <c r="I75" i="46"/>
  <c r="D171" i="46"/>
  <c r="D186" i="46"/>
  <c r="G264" i="46"/>
  <c r="E183" i="46"/>
  <c r="G344" i="46"/>
  <c r="D344" i="46" s="1"/>
  <c r="G361" i="46"/>
  <c r="D361" i="46" s="1"/>
  <c r="D420" i="46"/>
  <c r="D412" i="46" s="1"/>
  <c r="E19" i="46"/>
  <c r="D55" i="46"/>
  <c r="D57" i="46"/>
  <c r="H131" i="46"/>
  <c r="H125" i="46" s="1"/>
  <c r="F146" i="46"/>
  <c r="D146" i="46" s="1"/>
  <c r="E167" i="46"/>
  <c r="D337" i="46"/>
  <c r="H344" i="46"/>
  <c r="D350" i="46"/>
  <c r="D351" i="46" s="1"/>
  <c r="D354" i="46"/>
  <c r="D355" i="46" s="1"/>
  <c r="D388" i="46"/>
  <c r="D389" i="46" s="1"/>
  <c r="E59" i="46"/>
  <c r="H201" i="46"/>
  <c r="D32" i="46"/>
  <c r="D24" i="46" s="1"/>
  <c r="H146" i="46"/>
  <c r="H17" i="46" s="1"/>
  <c r="H177" i="46"/>
  <c r="H190" i="46"/>
  <c r="H181" i="46" s="1"/>
  <c r="H192" i="46"/>
  <c r="H183" i="46" s="1"/>
  <c r="H20" i="46" s="1"/>
  <c r="I201" i="46"/>
  <c r="D334" i="46"/>
  <c r="D335" i="46" s="1"/>
  <c r="G55" i="46"/>
  <c r="I146" i="46"/>
  <c r="I148" i="46" s="1"/>
  <c r="D217" i="46"/>
  <c r="D392" i="46"/>
  <c r="D394" i="46" s="1"/>
  <c r="D422" i="46"/>
  <c r="D414" i="46" s="1"/>
  <c r="G64" i="46"/>
  <c r="H209" i="46"/>
  <c r="F345" i="46"/>
  <c r="I59" i="46"/>
  <c r="E98" i="46"/>
  <c r="G338" i="46"/>
  <c r="G360" i="46"/>
  <c r="D360" i="46" s="1"/>
  <c r="H59" i="46"/>
  <c r="H132" i="46"/>
  <c r="H126" i="46" s="1"/>
  <c r="H19" i="46" s="1"/>
  <c r="D424" i="46" l="1"/>
  <c r="D19" i="46"/>
  <c r="D151" i="46"/>
  <c r="D343" i="46"/>
  <c r="G77" i="46"/>
  <c r="D38" i="46"/>
  <c r="F148" i="46"/>
  <c r="D229" i="46"/>
  <c r="D59" i="46"/>
  <c r="F15" i="46"/>
  <c r="H193" i="46"/>
  <c r="D316" i="46"/>
  <c r="E184" i="46"/>
  <c r="D133" i="46"/>
  <c r="G16" i="46"/>
  <c r="D416" i="46"/>
  <c r="D345" i="46"/>
  <c r="D364" i="46"/>
  <c r="I184" i="46"/>
  <c r="H133" i="46"/>
  <c r="H77" i="46"/>
  <c r="H14" i="46"/>
  <c r="G180" i="46"/>
  <c r="I17" i="46"/>
  <c r="D148" i="46"/>
  <c r="D181" i="46"/>
  <c r="D126" i="46"/>
  <c r="D128" i="46" s="1"/>
  <c r="D178" i="46"/>
  <c r="G26" i="46"/>
  <c r="G59" i="46"/>
  <c r="D193" i="46"/>
  <c r="E18" i="46"/>
  <c r="E21" i="46" s="1"/>
  <c r="D27" i="46"/>
  <c r="E30" i="46"/>
  <c r="H184" i="46"/>
  <c r="H18" i="46"/>
  <c r="I77" i="46"/>
  <c r="I14" i="46"/>
  <c r="D26" i="46"/>
  <c r="D16" i="46"/>
  <c r="F17" i="46"/>
  <c r="H128" i="46"/>
  <c r="H148" i="46"/>
  <c r="D183" i="46"/>
  <c r="D20" i="46" s="1"/>
  <c r="D15" i="46"/>
  <c r="D177" i="46"/>
  <c r="F21" i="46" l="1"/>
  <c r="D18" i="46"/>
  <c r="D180" i="46"/>
  <c r="D184" i="46" s="1"/>
  <c r="G184" i="46"/>
  <c r="D14" i="46"/>
  <c r="H21" i="46"/>
  <c r="D17" i="46"/>
  <c r="D30" i="46"/>
  <c r="G17" i="46"/>
  <c r="G21" i="46" s="1"/>
  <c r="G30" i="46"/>
  <c r="I21" i="46"/>
  <c r="D21" i="46" l="1"/>
</calcChain>
</file>

<file path=xl/sharedStrings.xml><?xml version="1.0" encoding="utf-8"?>
<sst xmlns="http://schemas.openxmlformats.org/spreadsheetml/2006/main" count="213" uniqueCount="102">
  <si>
    <t>Проектирование, строительство и реконструкция объектов водоотведения и очистки сточных вод</t>
  </si>
  <si>
    <t>Приложение №3</t>
  </si>
  <si>
    <t>к Программе</t>
  </si>
  <si>
    <t>План реализации муниципальной программы</t>
  </si>
  <si>
    <t>"Развитие жилищно-коммунального хозяйства и благоустройство территории Кингисеппского городского поселения"</t>
  </si>
  <si>
    <t>тыс.руб.</t>
  </si>
  <si>
    <t>Наименование муниципальной программы/структурного элемента/направления расходования средств</t>
  </si>
  <si>
    <t>Ответственный исполнитель, участник, соисполнитель</t>
  </si>
  <si>
    <t>Годы реализации</t>
  </si>
  <si>
    <t>Оценка расходов (тыс. руб. )</t>
  </si>
  <si>
    <t>Всего</t>
  </si>
  <si>
    <t>Федеральный бюджет</t>
  </si>
  <si>
    <t>Областной бюджет</t>
  </si>
  <si>
    <t>Бюджет муници- пального района</t>
  </si>
  <si>
    <t>Бюджет поселений</t>
  </si>
  <si>
    <t>Иные источники</t>
  </si>
  <si>
    <t>ИТОГО</t>
  </si>
  <si>
    <t>Проектная часть</t>
  </si>
  <si>
    <t>Реализация программ формирования современной городской среды</t>
  </si>
  <si>
    <t>Реализация мероприятий по строительству и реконструкции объектов водоснабжения</t>
  </si>
  <si>
    <t>Проектирование и строительство объектов инженерной и транспортной инфраструктуры</t>
  </si>
  <si>
    <t>Создание мест (площадок) накопления твердых коммунальных отходов</t>
  </si>
  <si>
    <t>Проектирование  и строительство газопроводов</t>
  </si>
  <si>
    <t>Капитальное строительство объектов газификации ( в том числе проектно-изыскательские работы)</t>
  </si>
  <si>
    <t>Приобретение жилых помещений для малоимущих граждан</t>
  </si>
  <si>
    <t>Реализация мероприятий по благоустройству дворовых территорий муниципальных образований Ленинградской области</t>
  </si>
  <si>
    <t>Отраслевой проект "Эффективное обращение с отходами производства и потребления на территории Ленинградской области"</t>
  </si>
  <si>
    <t>Реализация мероприятий по ликвидации несанкционированных свалок</t>
  </si>
  <si>
    <t>Отраслевой проект "Благоустройство общественных, дворовых пространств и цифровизация городского хозяйства"</t>
  </si>
  <si>
    <t>Отраслевой проект "Улучшение жилищных условий и обеспечение жильем отдельных категорий граждан"</t>
  </si>
  <si>
    <t>Реализация мероприятий по обеспечению жильем молодых семей</t>
  </si>
  <si>
    <t xml:space="preserve">Процессная часть </t>
  </si>
  <si>
    <t xml:space="preserve">Комплексы процессных мероприятий, итого </t>
  </si>
  <si>
    <t>Благоустройство и содержание территорий Кингисеппского городского поселения</t>
  </si>
  <si>
    <t>Ремонт и содержание объектов уличного освещения</t>
  </si>
  <si>
    <t>Организация уличного освещения</t>
  </si>
  <si>
    <t>Благоустройство территории города Кингисеппа</t>
  </si>
  <si>
    <t>Ремонт и благоустройство дворовых территорий многоквартирных домов, проездов к дворовым территориям многоквартирных домов</t>
  </si>
  <si>
    <t>Дополнительные расходы на мероприятия по благоустройству территорий поселения</t>
  </si>
  <si>
    <t>Поддержка развития общественной инфраструктуры муниципального значения</t>
  </si>
  <si>
    <t>Обеспечение устойчивого функционирования и развития коммунальной и инженерной инфраструктуры</t>
  </si>
  <si>
    <t xml:space="preserve">Благоустройство территории </t>
  </si>
  <si>
    <t>Мероприятия по сохранению и восстановлению окружающей среды</t>
  </si>
  <si>
    <t>Организация и содержание мест захоронения</t>
  </si>
  <si>
    <t>Благоустройство территории</t>
  </si>
  <si>
    <t>Обеспечение функционирования сети газоснабжения на территории Кингисеппского городского поселения</t>
  </si>
  <si>
    <t>Ремонт и содержание муниципального жилищного фонда</t>
  </si>
  <si>
    <t>Прочие мероприятия в области жилищного хозяйства</t>
  </si>
  <si>
    <t>Ремонт и содержание сетей ливневой канализации</t>
  </si>
  <si>
    <t>Создание, демонтаж и перенос  мест (площадок) накопления твердых коммунальных отходов</t>
  </si>
  <si>
    <t>Осуществление закрепленных за муниципальными образованиями законодательством полномочий</t>
  </si>
  <si>
    <t>Обеспечение деятельности (услуги, работы) муниципальных учреждений</t>
  </si>
  <si>
    <t>Проектирование, реконструкция и строительство объектов водоснабжения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</si>
  <si>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</si>
  <si>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Субсидии на мероприятия по строительству и реконструкции объектов водоснабжения (остатки средств бюджета Ленинградской области на начало текущего финансового года)</t>
  </si>
  <si>
    <t>Проектирование, строительство и реконструкция объектов, находящихся в муниципальной собственности</t>
  </si>
  <si>
    <t>Отраслевые проекты с 01.01.2024 г.</t>
  </si>
  <si>
    <t>Мероприятия, направленные на достижение целей проектов  до 31.12.2023 г.</t>
  </si>
  <si>
    <t>Мероприятия, направленные на достижение цели федерального проекта "Чистая вода" до 31.12.2023 г.</t>
  </si>
  <si>
    <t>Мероприятия, направленные на достижение цели федерального проекта "Региональная и местная дорожная сеть" до 31.12.2023 г.</t>
  </si>
  <si>
    <t>Мероприятия, направленные на достижение цели федерального проекта "Комплексная система обращения с твердыми коммунальными отходами" до 31.12.2023 г.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</si>
  <si>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 до 31.12.2023 г.</t>
  </si>
  <si>
    <t>Мероприятия, направленные на достижение цели федерального проекта "Жилье" до 31.12.2023 г.</t>
  </si>
  <si>
    <t>Мероприятия, направленные на достижение цели федерального проекта "Формирование комфортной городской среды" до 31.12.2023 г.</t>
  </si>
  <si>
    <t>Муниципальные проекты с 01.01.2024 г.</t>
  </si>
  <si>
    <r>
      <t xml:space="preserve">Реализация мероприятий по благоустройству дворовых территорий </t>
    </r>
    <r>
      <rPr>
        <b/>
        <sz val="12"/>
        <rFont val="Times New Roman"/>
        <family val="1"/>
        <charset val="204"/>
      </rPr>
      <t>до 31.12.2023 г.</t>
    </r>
  </si>
  <si>
    <r>
      <t xml:space="preserve">Реализация мероприятий по обеспечению жильем молодых семей </t>
    </r>
    <r>
      <rPr>
        <b/>
        <sz val="12"/>
        <rFont val="Times New Roman"/>
        <family val="1"/>
        <charset val="204"/>
      </rPr>
      <t>до 31.12.2023 г.</t>
    </r>
  </si>
  <si>
    <r>
      <t>Реализация мероприятий по ликвидации несанкционированных свалок</t>
    </r>
    <r>
      <rPr>
        <b/>
        <sz val="12"/>
        <rFont val="Times New Roman"/>
        <family val="1"/>
        <charset val="204"/>
      </rPr>
      <t xml:space="preserve"> до 31.12.2023 г.</t>
    </r>
  </si>
  <si>
    <r>
      <t xml:space="preserve">Создание мест (площадок) накопления твердых коммунальных отходов </t>
    </r>
    <r>
      <rPr>
        <b/>
        <sz val="12"/>
        <rFont val="Times New Roman"/>
        <family val="1"/>
        <charset val="204"/>
      </rPr>
      <t>до 31.12.2023 г.</t>
    </r>
  </si>
  <si>
    <t>Проектирование и строительство мест захоронения</t>
  </si>
  <si>
    <t>Комплекс процессных мероприятий «Организация благоустройства территории Кингисеппского городского поселения»</t>
  </si>
  <si>
    <t>Комплекс процессных мероприятий «Организация и содержание мест захоронения»</t>
  </si>
  <si>
    <t>Комплекс процессных мероприятий «Организация газоснабжения на территории Кингисеппского городского поселения»</t>
  </si>
  <si>
    <t>Комплекс процессных мероприятий «Обеспечение жилыми помещениями отдельных категорий граждан на территории Кингисеппского городского поселения»</t>
  </si>
  <si>
    <t>Комплекс процессных мероприятий «Развитие инженерной, транспортной и социальной инфраструктуры в районах массовой жилой застройки на территории Кингисеппского городского поселения»</t>
  </si>
  <si>
    <t>Комплекс процессных мероприятий «Организация водоснабжения и водоотведения на территории Кингисеппского городского поселения»</t>
  </si>
  <si>
    <t>Комплекс процессных мероприятий «Участие в организации деятельности по накоплению и транспортированию твердых коммунальных отходов»</t>
  </si>
  <si>
    <t>Комплекс процессных мероприятий «Обеспечение условий реализации программы»</t>
  </si>
  <si>
    <t>Региональные проекты /Федеральные проекты, входящие в состав национальных проектов до 31.12.2023 г.</t>
  </si>
  <si>
    <t>Региональный проект "Формирование комфортной городской среды" /Федеральный проект "Формирование комфортной городской среды" до 31.12.2023 г.</t>
  </si>
  <si>
    <t>Муниципальный проект "Обеспечение очистки дождевых (ливневых, поверхностных) сточных вод в г.Кингисепп" /Муниципальный проект "Водоотведение и очистка сточных вод на территории Кингисеппского городского поселения" до 31.12.2024 г.</t>
  </si>
  <si>
    <t>Выполнение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 /Выполнение мероприятий по реализации областного закона от 15.01.2018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 до 31.12.2024 года</t>
  </si>
  <si>
    <t xml:space="preserve">Дополнительные расходы на выполнение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 </t>
  </si>
  <si>
    <t xml:space="preserve">Мероприятия по решению отдельных вопросов местного значения в целях соблюдения доли софинансирования расходных обязательств поселения </t>
  </si>
  <si>
    <t>Мероприятия по капитальному ремонту и ремонту объектов, находящихся в муниципальной собственности</t>
  </si>
  <si>
    <t>Прочие мероприятия в области водоснабжения и водоотведения на территории Кингисеппского городского поселения</t>
  </si>
  <si>
    <t xml:space="preserve">Ответственный исполнитель муниципальной программы: Первый заместитель главы администрации МО "Кингисеппский муниципальный район"; заместитель главы администрации МО "Кингисеппский муниципальный район" по ЖКХ, транспорту и дорожному хозяйству; участники(соисполнители) муниципальной программы: комитет жилищно-коммунального хозяйства администрации МО "Кингисеппский муниципальный район", комитет по транспорту и дорожному хозяйству администрации МО "Кингисеппский муниципальный район", комитет по управлению имуществом МО "Кингисеппский муниципальный район"; МКУ "Служба городского хозяйства", МКУ "Кингисеппский жилищный центр"; Комитет по безопасности администрации МО "Кингисеппский муниципальный район" </t>
  </si>
  <si>
    <t>Создание комфортной городской среды в малых городах и исторических поселениях -  победителях Всероссийского конкурса лучших проектов создания комфортной городской среды (г. Кингисепп)</t>
  </si>
  <si>
    <t>Региональный проект "Жилье"</t>
  </si>
  <si>
    <t>Обеспечение устойчивого сокращения непригодного для проживания жилищного фонда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</si>
  <si>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</si>
  <si>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</si>
  <si>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(г. Кингисепп)</t>
  </si>
  <si>
    <t>Осуществление части полномочий по организации ритуальных услуг в части создания специализированной службы по вопросам похоронного дела</t>
  </si>
  <si>
    <t>Мероприятия, направленные на содействие развитию жилищно-коммунального хозяйства</t>
  </si>
  <si>
    <t>Муниципальный проект "Создание детских научных игровых площадок"</t>
  </si>
  <si>
    <t>(в редакции постановления администрации</t>
  </si>
  <si>
    <t>МО "Кингисеппский муниципальный район"</t>
  </si>
  <si>
    <t>Комплекс процессных мероприятий «Прочие мероприятия в области жилищно-коммунального хозяйства на территории Кингисеппского городского поселения»</t>
  </si>
  <si>
    <t>(Приложение)</t>
  </si>
  <si>
    <t>Прочие мероприятия в области благоустройства на территории Кингисеппского городского поселения</t>
  </si>
  <si>
    <t>от        22.04.2026        №  1593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</si>
</sst>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.0\ _₽"/>
    <numFmt numFmtId="166" formatCode="_-* #,##0.0_р_._-;\-* #,##0.0_р_._-;_-* &quot;-&quot;??_р_._-;_-@_-"/>
    <numFmt numFmtId="167" formatCode="#,##0.0\ _₽;\-#,##0.0\ _₽"/>
    <numFmt numFmtId="168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u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/>
    <xf numFmtId="0" fontId="5" fillId="0" borderId="0" xfId="4" applyFont="1" applyFill="1"/>
    <xf numFmtId="4" fontId="5" fillId="0" borderId="0" xfId="4" applyNumberFormat="1" applyFont="1" applyFill="1"/>
    <xf numFmtId="0" fontId="7" fillId="0" borderId="0" xfId="4" applyFont="1" applyFill="1" applyAlignment="1"/>
    <xf numFmtId="0" fontId="7" fillId="0" borderId="0" xfId="4" applyFont="1" applyFill="1" applyAlignment="1">
      <alignment horizontal="center"/>
    </xf>
    <xf numFmtId="0" fontId="2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horizontal="center"/>
    </xf>
    <xf numFmtId="0" fontId="5" fillId="0" borderId="0" xfId="4" applyFont="1" applyFill="1" applyBorder="1"/>
    <xf numFmtId="0" fontId="5" fillId="0" borderId="0" xfId="4" applyFont="1" applyFill="1" applyAlignment="1">
      <alignment wrapText="1"/>
    </xf>
    <xf numFmtId="165" fontId="2" fillId="0" borderId="2" xfId="6" applyNumberFormat="1" applyFont="1" applyFill="1" applyBorder="1" applyAlignment="1">
      <alignment horizontal="center" vertical="center" wrapText="1"/>
    </xf>
    <xf numFmtId="165" fontId="6" fillId="0" borderId="2" xfId="6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vertical="center" wrapText="1"/>
    </xf>
    <xf numFmtId="0" fontId="2" fillId="0" borderId="1" xfId="4" applyFont="1" applyFill="1" applyBorder="1" applyAlignment="1">
      <alignment horizontal="center" vertical="center" wrapText="1"/>
    </xf>
    <xf numFmtId="166" fontId="7" fillId="0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Fill="1" applyBorder="1" applyAlignment="1">
      <alignment horizontal="center" vertical="center" wrapText="1"/>
    </xf>
    <xf numFmtId="166" fontId="2" fillId="0" borderId="5" xfId="6" applyNumberFormat="1" applyFont="1" applyFill="1" applyBorder="1" applyAlignment="1">
      <alignment horizontal="center" vertical="center" wrapText="1"/>
    </xf>
    <xf numFmtId="167" fontId="2" fillId="0" borderId="2" xfId="6" applyNumberFormat="1" applyFont="1" applyFill="1" applyBorder="1" applyAlignment="1">
      <alignment horizontal="center" vertical="center" wrapText="1"/>
    </xf>
    <xf numFmtId="167" fontId="6" fillId="0" borderId="2" xfId="6" applyNumberFormat="1" applyFont="1" applyFill="1" applyBorder="1" applyAlignment="1">
      <alignment horizontal="center" vertical="center" wrapText="1"/>
    </xf>
    <xf numFmtId="165" fontId="6" fillId="0" borderId="2" xfId="6" applyNumberFormat="1" applyFont="1" applyFill="1" applyBorder="1" applyAlignment="1">
      <alignment horizontal="center" vertical="top" wrapText="1"/>
    </xf>
    <xf numFmtId="0" fontId="6" fillId="0" borderId="4" xfId="4" applyFont="1" applyFill="1" applyBorder="1" applyAlignment="1">
      <alignment vertical="center"/>
    </xf>
    <xf numFmtId="0" fontId="6" fillId="0" borderId="1" xfId="4" applyFont="1" applyFill="1" applyBorder="1" applyAlignment="1">
      <alignment vertical="center"/>
    </xf>
    <xf numFmtId="0" fontId="6" fillId="0" borderId="1" xfId="4" applyFont="1" applyFill="1" applyBorder="1" applyAlignment="1">
      <alignment horizontal="center" vertical="center"/>
    </xf>
    <xf numFmtId="166" fontId="6" fillId="0" borderId="1" xfId="6" applyNumberFormat="1" applyFont="1" applyFill="1" applyBorder="1" applyAlignment="1">
      <alignment horizontal="center" vertical="center" wrapText="1"/>
    </xf>
    <xf numFmtId="166" fontId="6" fillId="0" borderId="5" xfId="6" applyNumberFormat="1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top" wrapText="1"/>
    </xf>
    <xf numFmtId="0" fontId="11" fillId="0" borderId="0" xfId="4" applyFont="1" applyFill="1" applyAlignment="1">
      <alignment horizontal="left"/>
    </xf>
    <xf numFmtId="0" fontId="11" fillId="0" borderId="0" xfId="4" applyFont="1" applyFill="1" applyAlignment="1"/>
    <xf numFmtId="168" fontId="6" fillId="0" borderId="2" xfId="6" applyNumberFormat="1" applyFont="1" applyFill="1" applyBorder="1" applyAlignment="1">
      <alignment horizontal="center" vertical="center" wrapText="1"/>
    </xf>
    <xf numFmtId="0" fontId="11" fillId="0" borderId="0" xfId="4" applyFont="1" applyFill="1" applyAlignment="1">
      <alignment horizontal="right"/>
    </xf>
    <xf numFmtId="0" fontId="5" fillId="0" borderId="0" xfId="4" applyFont="1" applyFill="1" applyAlignment="1">
      <alignment vertical="center"/>
    </xf>
    <xf numFmtId="0" fontId="5" fillId="0" borderId="0" xfId="4" applyFont="1" applyFill="1" applyAlignment="1">
      <alignment horizontal="right"/>
    </xf>
    <xf numFmtId="0" fontId="6" fillId="0" borderId="2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/>
    </xf>
    <xf numFmtId="0" fontId="5" fillId="0" borderId="0" xfId="4" applyFont="1" applyFill="1" applyAlignment="1">
      <alignment horizontal="right"/>
    </xf>
    <xf numFmtId="0" fontId="5" fillId="0" borderId="0" xfId="5" applyFont="1" applyFill="1" applyAlignment="1" applyProtection="1">
      <alignment horizontal="right"/>
    </xf>
    <xf numFmtId="0" fontId="11" fillId="0" borderId="0" xfId="4" applyFont="1" applyFill="1" applyAlignment="1">
      <alignment horizontal="center"/>
    </xf>
    <xf numFmtId="0" fontId="6" fillId="0" borderId="3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7" xfId="4" applyFont="1" applyFill="1" applyBorder="1" applyAlignment="1">
      <alignment horizontal="left" vertical="center" wrapText="1"/>
    </xf>
    <xf numFmtId="0" fontId="2" fillId="0" borderId="6" xfId="4" applyFont="1" applyFill="1" applyBorder="1" applyAlignment="1">
      <alignment horizontal="left" vertical="center" wrapText="1"/>
    </xf>
    <xf numFmtId="0" fontId="6" fillId="0" borderId="3" xfId="4" applyFont="1" applyFill="1" applyBorder="1" applyAlignment="1">
      <alignment horizontal="center" vertical="top" wrapText="1"/>
    </xf>
    <xf numFmtId="0" fontId="6" fillId="0" borderId="7" xfId="4" applyFont="1" applyFill="1" applyBorder="1" applyAlignment="1">
      <alignment horizontal="center" vertical="top" wrapText="1"/>
    </xf>
    <xf numFmtId="0" fontId="6" fillId="0" borderId="6" xfId="4" applyFont="1" applyFill="1" applyBorder="1" applyAlignment="1">
      <alignment horizontal="center" vertical="top" wrapText="1"/>
    </xf>
    <xf numFmtId="0" fontId="6" fillId="0" borderId="3" xfId="4" applyFont="1" applyFill="1" applyBorder="1" applyAlignment="1">
      <alignment horizontal="left" vertical="center" wrapText="1"/>
    </xf>
    <xf numFmtId="0" fontId="6" fillId="0" borderId="7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left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top" wrapText="1"/>
    </xf>
    <xf numFmtId="0" fontId="2" fillId="0" borderId="7" xfId="4" applyFont="1" applyFill="1" applyBorder="1" applyAlignment="1">
      <alignment horizontal="center" vertical="top" wrapText="1"/>
    </xf>
    <xf numFmtId="0" fontId="2" fillId="0" borderId="6" xfId="4" applyFont="1" applyFill="1" applyBorder="1" applyAlignment="1">
      <alignment horizontal="center" vertical="top" wrapText="1"/>
    </xf>
    <xf numFmtId="0" fontId="6" fillId="0" borderId="3" xfId="4" applyFont="1" applyFill="1" applyBorder="1" applyAlignment="1">
      <alignment horizontal="center" vertical="top"/>
    </xf>
    <xf numFmtId="0" fontId="6" fillId="0" borderId="7" xfId="4" applyFont="1" applyFill="1" applyBorder="1" applyAlignment="1">
      <alignment horizontal="center" vertical="top"/>
    </xf>
    <xf numFmtId="0" fontId="2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top" wrapText="1"/>
    </xf>
    <xf numFmtId="0" fontId="2" fillId="0" borderId="7" xfId="4" applyFont="1" applyFill="1" applyBorder="1" applyAlignment="1">
      <alignment horizontal="left" vertical="top" wrapText="1"/>
    </xf>
    <xf numFmtId="0" fontId="2" fillId="0" borderId="6" xfId="4" applyFont="1" applyFill="1" applyBorder="1" applyAlignment="1">
      <alignment horizontal="left" vertical="top" wrapText="1"/>
    </xf>
    <xf numFmtId="0" fontId="2" fillId="0" borderId="2" xfId="4" applyFont="1" applyFill="1" applyBorder="1" applyAlignment="1">
      <alignment horizontal="left" vertical="center" wrapText="1"/>
    </xf>
    <xf numFmtId="0" fontId="6" fillId="0" borderId="4" xfId="4" applyFont="1" applyFill="1" applyBorder="1" applyAlignment="1">
      <alignment horizontal="left" vertical="center"/>
    </xf>
    <xf numFmtId="0" fontId="6" fillId="0" borderId="1" xfId="4" applyFont="1" applyFill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/>
    </xf>
    <xf numFmtId="0" fontId="6" fillId="0" borderId="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center" vertical="center" wrapText="1"/>
    </xf>
    <xf numFmtId="0" fontId="2" fillId="0" borderId="7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5" xfId="4" applyFont="1" applyFill="1" applyBorder="1" applyAlignment="1">
      <alignment horizontal="left" vertical="center" wrapText="1"/>
    </xf>
  </cellXfs>
  <cellStyles count="7">
    <cellStyle name="Гиперссылка" xfId="5" builtinId="8"/>
    <cellStyle name="Обычный" xfId="0" builtinId="0"/>
    <cellStyle name="Обычный 2" xfId="3"/>
    <cellStyle name="Обычный 2 2" xfId="4"/>
    <cellStyle name="Обычный 3 2" xfId="1"/>
    <cellStyle name="Обычный 3 2 2" xfId="2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K429"/>
  <sheetViews>
    <sheetView tabSelected="1" view="pageBreakPreview" topLeftCell="A5" zoomScale="90" zoomScaleNormal="90" zoomScaleSheetLayoutView="90" workbookViewId="0">
      <selection activeCell="G5" sqref="G5"/>
    </sheetView>
  </sheetViews>
  <sheetFormatPr defaultRowHeight="18.75" x14ac:dyDescent="0.3"/>
  <cols>
    <col min="1" max="1" width="38.5703125" style="1" customWidth="1"/>
    <col min="2" max="2" width="40.140625" style="2" customWidth="1"/>
    <col min="3" max="3" width="14.7109375" style="3" customWidth="1"/>
    <col min="4" max="4" width="14.7109375" style="4" customWidth="1"/>
    <col min="5" max="9" width="14.7109375" style="5" customWidth="1"/>
    <col min="10" max="219" width="9.140625" style="5"/>
    <col min="220" max="220" width="38.5703125" style="5" customWidth="1"/>
    <col min="221" max="221" width="40.140625" style="5" customWidth="1"/>
    <col min="222" max="228" width="14.7109375" style="5" customWidth="1"/>
    <col min="229" max="229" width="17.140625" style="5" customWidth="1"/>
    <col min="230" max="475" width="9.140625" style="5"/>
    <col min="476" max="476" width="38.5703125" style="5" customWidth="1"/>
    <col min="477" max="477" width="40.140625" style="5" customWidth="1"/>
    <col min="478" max="484" width="14.7109375" style="5" customWidth="1"/>
    <col min="485" max="485" width="17.140625" style="5" customWidth="1"/>
    <col min="486" max="731" width="9.140625" style="5"/>
    <col min="732" max="732" width="38.5703125" style="5" customWidth="1"/>
    <col min="733" max="733" width="40.140625" style="5" customWidth="1"/>
    <col min="734" max="740" width="14.7109375" style="5" customWidth="1"/>
    <col min="741" max="741" width="17.140625" style="5" customWidth="1"/>
    <col min="742" max="987" width="9.140625" style="5"/>
    <col min="988" max="988" width="38.5703125" style="5" customWidth="1"/>
    <col min="989" max="989" width="40.140625" style="5" customWidth="1"/>
    <col min="990" max="996" width="14.7109375" style="5" customWidth="1"/>
    <col min="997" max="997" width="17.140625" style="5" customWidth="1"/>
    <col min="998" max="1243" width="9.140625" style="5"/>
    <col min="1244" max="1244" width="38.5703125" style="5" customWidth="1"/>
    <col min="1245" max="1245" width="40.140625" style="5" customWidth="1"/>
    <col min="1246" max="1252" width="14.7109375" style="5" customWidth="1"/>
    <col min="1253" max="1253" width="17.140625" style="5" customWidth="1"/>
    <col min="1254" max="1499" width="9.140625" style="5"/>
    <col min="1500" max="1500" width="38.5703125" style="5" customWidth="1"/>
    <col min="1501" max="1501" width="40.140625" style="5" customWidth="1"/>
    <col min="1502" max="1508" width="14.7109375" style="5" customWidth="1"/>
    <col min="1509" max="1509" width="17.140625" style="5" customWidth="1"/>
    <col min="1510" max="1755" width="9.140625" style="5"/>
    <col min="1756" max="1756" width="38.5703125" style="5" customWidth="1"/>
    <col min="1757" max="1757" width="40.140625" style="5" customWidth="1"/>
    <col min="1758" max="1764" width="14.7109375" style="5" customWidth="1"/>
    <col min="1765" max="1765" width="17.140625" style="5" customWidth="1"/>
    <col min="1766" max="2011" width="9.140625" style="5"/>
    <col min="2012" max="2012" width="38.5703125" style="5" customWidth="1"/>
    <col min="2013" max="2013" width="40.140625" style="5" customWidth="1"/>
    <col min="2014" max="2020" width="14.7109375" style="5" customWidth="1"/>
    <col min="2021" max="2021" width="17.140625" style="5" customWidth="1"/>
    <col min="2022" max="2267" width="9.140625" style="5"/>
    <col min="2268" max="2268" width="38.5703125" style="5" customWidth="1"/>
    <col min="2269" max="2269" width="40.140625" style="5" customWidth="1"/>
    <col min="2270" max="2276" width="14.7109375" style="5" customWidth="1"/>
    <col min="2277" max="2277" width="17.140625" style="5" customWidth="1"/>
    <col min="2278" max="2523" width="9.140625" style="5"/>
    <col min="2524" max="2524" width="38.5703125" style="5" customWidth="1"/>
    <col min="2525" max="2525" width="40.140625" style="5" customWidth="1"/>
    <col min="2526" max="2532" width="14.7109375" style="5" customWidth="1"/>
    <col min="2533" max="2533" width="17.140625" style="5" customWidth="1"/>
    <col min="2534" max="2779" width="9.140625" style="5"/>
    <col min="2780" max="2780" width="38.5703125" style="5" customWidth="1"/>
    <col min="2781" max="2781" width="40.140625" style="5" customWidth="1"/>
    <col min="2782" max="2788" width="14.7109375" style="5" customWidth="1"/>
    <col min="2789" max="2789" width="17.140625" style="5" customWidth="1"/>
    <col min="2790" max="3035" width="9.140625" style="5"/>
    <col min="3036" max="3036" width="38.5703125" style="5" customWidth="1"/>
    <col min="3037" max="3037" width="40.140625" style="5" customWidth="1"/>
    <col min="3038" max="3044" width="14.7109375" style="5" customWidth="1"/>
    <col min="3045" max="3045" width="17.140625" style="5" customWidth="1"/>
    <col min="3046" max="3291" width="9.140625" style="5"/>
    <col min="3292" max="3292" width="38.5703125" style="5" customWidth="1"/>
    <col min="3293" max="3293" width="40.140625" style="5" customWidth="1"/>
    <col min="3294" max="3300" width="14.7109375" style="5" customWidth="1"/>
    <col min="3301" max="3301" width="17.140625" style="5" customWidth="1"/>
    <col min="3302" max="3547" width="9.140625" style="5"/>
    <col min="3548" max="3548" width="38.5703125" style="5" customWidth="1"/>
    <col min="3549" max="3549" width="40.140625" style="5" customWidth="1"/>
    <col min="3550" max="3556" width="14.7109375" style="5" customWidth="1"/>
    <col min="3557" max="3557" width="17.140625" style="5" customWidth="1"/>
    <col min="3558" max="3803" width="9.140625" style="5"/>
    <col min="3804" max="3804" width="38.5703125" style="5" customWidth="1"/>
    <col min="3805" max="3805" width="40.140625" style="5" customWidth="1"/>
    <col min="3806" max="3812" width="14.7109375" style="5" customWidth="1"/>
    <col min="3813" max="3813" width="17.140625" style="5" customWidth="1"/>
    <col min="3814" max="4059" width="9.140625" style="5"/>
    <col min="4060" max="4060" width="38.5703125" style="5" customWidth="1"/>
    <col min="4061" max="4061" width="40.140625" style="5" customWidth="1"/>
    <col min="4062" max="4068" width="14.7109375" style="5" customWidth="1"/>
    <col min="4069" max="4069" width="17.140625" style="5" customWidth="1"/>
    <col min="4070" max="4315" width="9.140625" style="5"/>
    <col min="4316" max="4316" width="38.5703125" style="5" customWidth="1"/>
    <col min="4317" max="4317" width="40.140625" style="5" customWidth="1"/>
    <col min="4318" max="4324" width="14.7109375" style="5" customWidth="1"/>
    <col min="4325" max="4325" width="17.140625" style="5" customWidth="1"/>
    <col min="4326" max="4571" width="9.140625" style="5"/>
    <col min="4572" max="4572" width="38.5703125" style="5" customWidth="1"/>
    <col min="4573" max="4573" width="40.140625" style="5" customWidth="1"/>
    <col min="4574" max="4580" width="14.7109375" style="5" customWidth="1"/>
    <col min="4581" max="4581" width="17.140625" style="5" customWidth="1"/>
    <col min="4582" max="4827" width="9.140625" style="5"/>
    <col min="4828" max="4828" width="38.5703125" style="5" customWidth="1"/>
    <col min="4829" max="4829" width="40.140625" style="5" customWidth="1"/>
    <col min="4830" max="4836" width="14.7109375" style="5" customWidth="1"/>
    <col min="4837" max="4837" width="17.140625" style="5" customWidth="1"/>
    <col min="4838" max="5083" width="9.140625" style="5"/>
    <col min="5084" max="5084" width="38.5703125" style="5" customWidth="1"/>
    <col min="5085" max="5085" width="40.140625" style="5" customWidth="1"/>
    <col min="5086" max="5092" width="14.7109375" style="5" customWidth="1"/>
    <col min="5093" max="5093" width="17.140625" style="5" customWidth="1"/>
    <col min="5094" max="5339" width="9.140625" style="5"/>
    <col min="5340" max="5340" width="38.5703125" style="5" customWidth="1"/>
    <col min="5341" max="5341" width="40.140625" style="5" customWidth="1"/>
    <col min="5342" max="5348" width="14.7109375" style="5" customWidth="1"/>
    <col min="5349" max="5349" width="17.140625" style="5" customWidth="1"/>
    <col min="5350" max="5595" width="9.140625" style="5"/>
    <col min="5596" max="5596" width="38.5703125" style="5" customWidth="1"/>
    <col min="5597" max="5597" width="40.140625" style="5" customWidth="1"/>
    <col min="5598" max="5604" width="14.7109375" style="5" customWidth="1"/>
    <col min="5605" max="5605" width="17.140625" style="5" customWidth="1"/>
    <col min="5606" max="5851" width="9.140625" style="5"/>
    <col min="5852" max="5852" width="38.5703125" style="5" customWidth="1"/>
    <col min="5853" max="5853" width="40.140625" style="5" customWidth="1"/>
    <col min="5854" max="5860" width="14.7109375" style="5" customWidth="1"/>
    <col min="5861" max="5861" width="17.140625" style="5" customWidth="1"/>
    <col min="5862" max="6107" width="9.140625" style="5"/>
    <col min="6108" max="6108" width="38.5703125" style="5" customWidth="1"/>
    <col min="6109" max="6109" width="40.140625" style="5" customWidth="1"/>
    <col min="6110" max="6116" width="14.7109375" style="5" customWidth="1"/>
    <col min="6117" max="6117" width="17.140625" style="5" customWidth="1"/>
    <col min="6118" max="6363" width="9.140625" style="5"/>
    <col min="6364" max="6364" width="38.5703125" style="5" customWidth="1"/>
    <col min="6365" max="6365" width="40.140625" style="5" customWidth="1"/>
    <col min="6366" max="6372" width="14.7109375" style="5" customWidth="1"/>
    <col min="6373" max="6373" width="17.140625" style="5" customWidth="1"/>
    <col min="6374" max="6619" width="9.140625" style="5"/>
    <col min="6620" max="6620" width="38.5703125" style="5" customWidth="1"/>
    <col min="6621" max="6621" width="40.140625" style="5" customWidth="1"/>
    <col min="6622" max="6628" width="14.7109375" style="5" customWidth="1"/>
    <col min="6629" max="6629" width="17.140625" style="5" customWidth="1"/>
    <col min="6630" max="6875" width="9.140625" style="5"/>
    <col min="6876" max="6876" width="38.5703125" style="5" customWidth="1"/>
    <col min="6877" max="6877" width="40.140625" style="5" customWidth="1"/>
    <col min="6878" max="6884" width="14.7109375" style="5" customWidth="1"/>
    <col min="6885" max="6885" width="17.140625" style="5" customWidth="1"/>
    <col min="6886" max="7131" width="9.140625" style="5"/>
    <col min="7132" max="7132" width="38.5703125" style="5" customWidth="1"/>
    <col min="7133" max="7133" width="40.140625" style="5" customWidth="1"/>
    <col min="7134" max="7140" width="14.7109375" style="5" customWidth="1"/>
    <col min="7141" max="7141" width="17.140625" style="5" customWidth="1"/>
    <col min="7142" max="7387" width="9.140625" style="5"/>
    <col min="7388" max="7388" width="38.5703125" style="5" customWidth="1"/>
    <col min="7389" max="7389" width="40.140625" style="5" customWidth="1"/>
    <col min="7390" max="7396" width="14.7109375" style="5" customWidth="1"/>
    <col min="7397" max="7397" width="17.140625" style="5" customWidth="1"/>
    <col min="7398" max="7643" width="9.140625" style="5"/>
    <col min="7644" max="7644" width="38.5703125" style="5" customWidth="1"/>
    <col min="7645" max="7645" width="40.140625" style="5" customWidth="1"/>
    <col min="7646" max="7652" width="14.7109375" style="5" customWidth="1"/>
    <col min="7653" max="7653" width="17.140625" style="5" customWidth="1"/>
    <col min="7654" max="7899" width="9.140625" style="5"/>
    <col min="7900" max="7900" width="38.5703125" style="5" customWidth="1"/>
    <col min="7901" max="7901" width="40.140625" style="5" customWidth="1"/>
    <col min="7902" max="7908" width="14.7109375" style="5" customWidth="1"/>
    <col min="7909" max="7909" width="17.140625" style="5" customWidth="1"/>
    <col min="7910" max="8155" width="9.140625" style="5"/>
    <col min="8156" max="8156" width="38.5703125" style="5" customWidth="1"/>
    <col min="8157" max="8157" width="40.140625" style="5" customWidth="1"/>
    <col min="8158" max="8164" width="14.7109375" style="5" customWidth="1"/>
    <col min="8165" max="8165" width="17.140625" style="5" customWidth="1"/>
    <col min="8166" max="8411" width="9.140625" style="5"/>
    <col min="8412" max="8412" width="38.5703125" style="5" customWidth="1"/>
    <col min="8413" max="8413" width="40.140625" style="5" customWidth="1"/>
    <col min="8414" max="8420" width="14.7109375" style="5" customWidth="1"/>
    <col min="8421" max="8421" width="17.140625" style="5" customWidth="1"/>
    <col min="8422" max="8667" width="9.140625" style="5"/>
    <col min="8668" max="8668" width="38.5703125" style="5" customWidth="1"/>
    <col min="8669" max="8669" width="40.140625" style="5" customWidth="1"/>
    <col min="8670" max="8676" width="14.7109375" style="5" customWidth="1"/>
    <col min="8677" max="8677" width="17.140625" style="5" customWidth="1"/>
    <col min="8678" max="8923" width="9.140625" style="5"/>
    <col min="8924" max="8924" width="38.5703125" style="5" customWidth="1"/>
    <col min="8925" max="8925" width="40.140625" style="5" customWidth="1"/>
    <col min="8926" max="8932" width="14.7109375" style="5" customWidth="1"/>
    <col min="8933" max="8933" width="17.140625" style="5" customWidth="1"/>
    <col min="8934" max="9179" width="9.140625" style="5"/>
    <col min="9180" max="9180" width="38.5703125" style="5" customWidth="1"/>
    <col min="9181" max="9181" width="40.140625" style="5" customWidth="1"/>
    <col min="9182" max="9188" width="14.7109375" style="5" customWidth="1"/>
    <col min="9189" max="9189" width="17.140625" style="5" customWidth="1"/>
    <col min="9190" max="9435" width="9.140625" style="5"/>
    <col min="9436" max="9436" width="38.5703125" style="5" customWidth="1"/>
    <col min="9437" max="9437" width="40.140625" style="5" customWidth="1"/>
    <col min="9438" max="9444" width="14.7109375" style="5" customWidth="1"/>
    <col min="9445" max="9445" width="17.140625" style="5" customWidth="1"/>
    <col min="9446" max="9691" width="9.140625" style="5"/>
    <col min="9692" max="9692" width="38.5703125" style="5" customWidth="1"/>
    <col min="9693" max="9693" width="40.140625" style="5" customWidth="1"/>
    <col min="9694" max="9700" width="14.7109375" style="5" customWidth="1"/>
    <col min="9701" max="9701" width="17.140625" style="5" customWidth="1"/>
    <col min="9702" max="9947" width="9.140625" style="5"/>
    <col min="9948" max="9948" width="38.5703125" style="5" customWidth="1"/>
    <col min="9949" max="9949" width="40.140625" style="5" customWidth="1"/>
    <col min="9950" max="9956" width="14.7109375" style="5" customWidth="1"/>
    <col min="9957" max="9957" width="17.140625" style="5" customWidth="1"/>
    <col min="9958" max="10203" width="9.140625" style="5"/>
    <col min="10204" max="10204" width="38.5703125" style="5" customWidth="1"/>
    <col min="10205" max="10205" width="40.140625" style="5" customWidth="1"/>
    <col min="10206" max="10212" width="14.7109375" style="5" customWidth="1"/>
    <col min="10213" max="10213" width="17.140625" style="5" customWidth="1"/>
    <col min="10214" max="10459" width="9.140625" style="5"/>
    <col min="10460" max="10460" width="38.5703125" style="5" customWidth="1"/>
    <col min="10461" max="10461" width="40.140625" style="5" customWidth="1"/>
    <col min="10462" max="10468" width="14.7109375" style="5" customWidth="1"/>
    <col min="10469" max="10469" width="17.140625" style="5" customWidth="1"/>
    <col min="10470" max="10715" width="9.140625" style="5"/>
    <col min="10716" max="10716" width="38.5703125" style="5" customWidth="1"/>
    <col min="10717" max="10717" width="40.140625" style="5" customWidth="1"/>
    <col min="10718" max="10724" width="14.7109375" style="5" customWidth="1"/>
    <col min="10725" max="10725" width="17.140625" style="5" customWidth="1"/>
    <col min="10726" max="10971" width="9.140625" style="5"/>
    <col min="10972" max="10972" width="38.5703125" style="5" customWidth="1"/>
    <col min="10973" max="10973" width="40.140625" style="5" customWidth="1"/>
    <col min="10974" max="10980" width="14.7109375" style="5" customWidth="1"/>
    <col min="10981" max="10981" width="17.140625" style="5" customWidth="1"/>
    <col min="10982" max="11227" width="9.140625" style="5"/>
    <col min="11228" max="11228" width="38.5703125" style="5" customWidth="1"/>
    <col min="11229" max="11229" width="40.140625" style="5" customWidth="1"/>
    <col min="11230" max="11236" width="14.7109375" style="5" customWidth="1"/>
    <col min="11237" max="11237" width="17.140625" style="5" customWidth="1"/>
    <col min="11238" max="11483" width="9.140625" style="5"/>
    <col min="11484" max="11484" width="38.5703125" style="5" customWidth="1"/>
    <col min="11485" max="11485" width="40.140625" style="5" customWidth="1"/>
    <col min="11486" max="11492" width="14.7109375" style="5" customWidth="1"/>
    <col min="11493" max="11493" width="17.140625" style="5" customWidth="1"/>
    <col min="11494" max="11739" width="9.140625" style="5"/>
    <col min="11740" max="11740" width="38.5703125" style="5" customWidth="1"/>
    <col min="11741" max="11741" width="40.140625" style="5" customWidth="1"/>
    <col min="11742" max="11748" width="14.7109375" style="5" customWidth="1"/>
    <col min="11749" max="11749" width="17.140625" style="5" customWidth="1"/>
    <col min="11750" max="11995" width="9.140625" style="5"/>
    <col min="11996" max="11996" width="38.5703125" style="5" customWidth="1"/>
    <col min="11997" max="11997" width="40.140625" style="5" customWidth="1"/>
    <col min="11998" max="12004" width="14.7109375" style="5" customWidth="1"/>
    <col min="12005" max="12005" width="17.140625" style="5" customWidth="1"/>
    <col min="12006" max="12251" width="9.140625" style="5"/>
    <col min="12252" max="12252" width="38.5703125" style="5" customWidth="1"/>
    <col min="12253" max="12253" width="40.140625" style="5" customWidth="1"/>
    <col min="12254" max="12260" width="14.7109375" style="5" customWidth="1"/>
    <col min="12261" max="12261" width="17.140625" style="5" customWidth="1"/>
    <col min="12262" max="12507" width="9.140625" style="5"/>
    <col min="12508" max="12508" width="38.5703125" style="5" customWidth="1"/>
    <col min="12509" max="12509" width="40.140625" style="5" customWidth="1"/>
    <col min="12510" max="12516" width="14.7109375" style="5" customWidth="1"/>
    <col min="12517" max="12517" width="17.140625" style="5" customWidth="1"/>
    <col min="12518" max="12763" width="9.140625" style="5"/>
    <col min="12764" max="12764" width="38.5703125" style="5" customWidth="1"/>
    <col min="12765" max="12765" width="40.140625" style="5" customWidth="1"/>
    <col min="12766" max="12772" width="14.7109375" style="5" customWidth="1"/>
    <col min="12773" max="12773" width="17.140625" style="5" customWidth="1"/>
    <col min="12774" max="13019" width="9.140625" style="5"/>
    <col min="13020" max="13020" width="38.5703125" style="5" customWidth="1"/>
    <col min="13021" max="13021" width="40.140625" style="5" customWidth="1"/>
    <col min="13022" max="13028" width="14.7109375" style="5" customWidth="1"/>
    <col min="13029" max="13029" width="17.140625" style="5" customWidth="1"/>
    <col min="13030" max="13275" width="9.140625" style="5"/>
    <col min="13276" max="13276" width="38.5703125" style="5" customWidth="1"/>
    <col min="13277" max="13277" width="40.140625" style="5" customWidth="1"/>
    <col min="13278" max="13284" width="14.7109375" style="5" customWidth="1"/>
    <col min="13285" max="13285" width="17.140625" style="5" customWidth="1"/>
    <col min="13286" max="13531" width="9.140625" style="5"/>
    <col min="13532" max="13532" width="38.5703125" style="5" customWidth="1"/>
    <col min="13533" max="13533" width="40.140625" style="5" customWidth="1"/>
    <col min="13534" max="13540" width="14.7109375" style="5" customWidth="1"/>
    <col min="13541" max="13541" width="17.140625" style="5" customWidth="1"/>
    <col min="13542" max="13787" width="9.140625" style="5"/>
    <col min="13788" max="13788" width="38.5703125" style="5" customWidth="1"/>
    <col min="13789" max="13789" width="40.140625" style="5" customWidth="1"/>
    <col min="13790" max="13796" width="14.7109375" style="5" customWidth="1"/>
    <col min="13797" max="13797" width="17.140625" style="5" customWidth="1"/>
    <col min="13798" max="14043" width="9.140625" style="5"/>
    <col min="14044" max="14044" width="38.5703125" style="5" customWidth="1"/>
    <col min="14045" max="14045" width="40.140625" style="5" customWidth="1"/>
    <col min="14046" max="14052" width="14.7109375" style="5" customWidth="1"/>
    <col min="14053" max="14053" width="17.140625" style="5" customWidth="1"/>
    <col min="14054" max="14299" width="9.140625" style="5"/>
    <col min="14300" max="14300" width="38.5703125" style="5" customWidth="1"/>
    <col min="14301" max="14301" width="40.140625" style="5" customWidth="1"/>
    <col min="14302" max="14308" width="14.7109375" style="5" customWidth="1"/>
    <col min="14309" max="14309" width="17.140625" style="5" customWidth="1"/>
    <col min="14310" max="14555" width="9.140625" style="5"/>
    <col min="14556" max="14556" width="38.5703125" style="5" customWidth="1"/>
    <col min="14557" max="14557" width="40.140625" style="5" customWidth="1"/>
    <col min="14558" max="14564" width="14.7109375" style="5" customWidth="1"/>
    <col min="14565" max="14565" width="17.140625" style="5" customWidth="1"/>
    <col min="14566" max="14811" width="9.140625" style="5"/>
    <col min="14812" max="14812" width="38.5703125" style="5" customWidth="1"/>
    <col min="14813" max="14813" width="40.140625" style="5" customWidth="1"/>
    <col min="14814" max="14820" width="14.7109375" style="5" customWidth="1"/>
    <col min="14821" max="14821" width="17.140625" style="5" customWidth="1"/>
    <col min="14822" max="15067" width="9.140625" style="5"/>
    <col min="15068" max="15068" width="38.5703125" style="5" customWidth="1"/>
    <col min="15069" max="15069" width="40.140625" style="5" customWidth="1"/>
    <col min="15070" max="15076" width="14.7109375" style="5" customWidth="1"/>
    <col min="15077" max="15077" width="17.140625" style="5" customWidth="1"/>
    <col min="15078" max="15323" width="9.140625" style="5"/>
    <col min="15324" max="15324" width="38.5703125" style="5" customWidth="1"/>
    <col min="15325" max="15325" width="40.140625" style="5" customWidth="1"/>
    <col min="15326" max="15332" width="14.7109375" style="5" customWidth="1"/>
    <col min="15333" max="15333" width="17.140625" style="5" customWidth="1"/>
    <col min="15334" max="15579" width="9.140625" style="5"/>
    <col min="15580" max="15580" width="38.5703125" style="5" customWidth="1"/>
    <col min="15581" max="15581" width="40.140625" style="5" customWidth="1"/>
    <col min="15582" max="15588" width="14.7109375" style="5" customWidth="1"/>
    <col min="15589" max="15589" width="17.140625" style="5" customWidth="1"/>
    <col min="15590" max="15835" width="9.140625" style="5"/>
    <col min="15836" max="15836" width="38.5703125" style="5" customWidth="1"/>
    <col min="15837" max="15837" width="40.140625" style="5" customWidth="1"/>
    <col min="15838" max="15844" width="14.7109375" style="5" customWidth="1"/>
    <col min="15845" max="15845" width="17.140625" style="5" customWidth="1"/>
    <col min="15846" max="16091" width="9.140625" style="5"/>
    <col min="16092" max="16092" width="38.5703125" style="5" customWidth="1"/>
    <col min="16093" max="16093" width="40.140625" style="5" customWidth="1"/>
    <col min="16094" max="16100" width="14.7109375" style="5" customWidth="1"/>
    <col min="16101" max="16101" width="17.140625" style="5" customWidth="1"/>
    <col min="16102" max="16384" width="9.140625" style="5"/>
  </cols>
  <sheetData>
    <row r="1" spans="1:219" ht="33" customHeight="1" x14ac:dyDescent="0.3">
      <c r="G1" s="40" t="s">
        <v>1</v>
      </c>
      <c r="H1" s="40"/>
      <c r="I1" s="40"/>
    </row>
    <row r="2" spans="1:219" x14ac:dyDescent="0.3">
      <c r="G2" s="41" t="s">
        <v>2</v>
      </c>
      <c r="H2" s="41"/>
      <c r="I2" s="41"/>
    </row>
    <row r="3" spans="1:219" x14ac:dyDescent="0.3">
      <c r="F3" s="32"/>
      <c r="G3" s="32" t="s">
        <v>96</v>
      </c>
      <c r="H3" s="32"/>
      <c r="I3" s="32"/>
    </row>
    <row r="4" spans="1:219" x14ac:dyDescent="0.3">
      <c r="F4" s="32"/>
      <c r="G4" s="32" t="s">
        <v>97</v>
      </c>
      <c r="H4" s="32"/>
      <c r="I4" s="32"/>
    </row>
    <row r="5" spans="1:219" x14ac:dyDescent="0.3">
      <c r="F5" s="34"/>
      <c r="G5" s="31" t="s">
        <v>101</v>
      </c>
      <c r="H5" s="34"/>
      <c r="I5" s="34"/>
    </row>
    <row r="6" spans="1:219" x14ac:dyDescent="0.3">
      <c r="F6" s="34"/>
      <c r="G6" s="42" t="s">
        <v>99</v>
      </c>
      <c r="H6" s="42"/>
      <c r="I6" s="42"/>
    </row>
    <row r="7" spans="1:219" ht="58.5" customHeight="1" x14ac:dyDescent="0.3"/>
    <row r="8" spans="1:219" x14ac:dyDescent="0.3">
      <c r="B8" s="7"/>
      <c r="C8" s="7"/>
      <c r="D8" s="8" t="s">
        <v>3</v>
      </c>
      <c r="E8" s="7"/>
      <c r="F8" s="7"/>
      <c r="G8" s="7"/>
      <c r="H8" s="7"/>
      <c r="I8" s="7"/>
    </row>
    <row r="9" spans="1:219" x14ac:dyDescent="0.3">
      <c r="A9" s="9"/>
      <c r="B9" s="10"/>
      <c r="C9" s="10"/>
      <c r="D9" s="11" t="s">
        <v>4</v>
      </c>
      <c r="E9" s="10"/>
      <c r="F9" s="10"/>
      <c r="G9" s="10"/>
      <c r="H9" s="10"/>
      <c r="I9" s="10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</row>
    <row r="10" spans="1:219" x14ac:dyDescent="0.3">
      <c r="I10" s="36" t="s">
        <v>5</v>
      </c>
    </row>
    <row r="11" spans="1:219" x14ac:dyDescent="0.3">
      <c r="A11" s="43" t="s">
        <v>6</v>
      </c>
      <c r="B11" s="45" t="s">
        <v>7</v>
      </c>
      <c r="C11" s="45" t="s">
        <v>8</v>
      </c>
      <c r="D11" s="45" t="s">
        <v>9</v>
      </c>
      <c r="E11" s="45"/>
      <c r="F11" s="45"/>
      <c r="G11" s="45"/>
      <c r="H11" s="45"/>
      <c r="I11" s="45"/>
    </row>
    <row r="12" spans="1:219" ht="62.25" customHeight="1" x14ac:dyDescent="0.3">
      <c r="A12" s="44"/>
      <c r="B12" s="45"/>
      <c r="C12" s="45"/>
      <c r="D12" s="29" t="s">
        <v>10</v>
      </c>
      <c r="E12" s="37" t="s">
        <v>11</v>
      </c>
      <c r="F12" s="37" t="s">
        <v>12</v>
      </c>
      <c r="G12" s="37" t="s">
        <v>13</v>
      </c>
      <c r="H12" s="37" t="s">
        <v>14</v>
      </c>
      <c r="I12" s="37" t="s">
        <v>15</v>
      </c>
    </row>
    <row r="13" spans="1:219" x14ac:dyDescent="0.3">
      <c r="A13" s="38">
        <v>1</v>
      </c>
      <c r="B13" s="38">
        <v>2</v>
      </c>
      <c r="C13" s="38">
        <v>3</v>
      </c>
      <c r="D13" s="37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219" ht="38.1" customHeight="1" x14ac:dyDescent="0.3">
      <c r="A14" s="55" t="s">
        <v>4</v>
      </c>
      <c r="B14" s="56" t="s">
        <v>86</v>
      </c>
      <c r="C14" s="37">
        <v>2022</v>
      </c>
      <c r="D14" s="15">
        <f t="shared" ref="D14:I15" si="0">D23+D75+D177</f>
        <v>277015.59999999998</v>
      </c>
      <c r="E14" s="15">
        <f t="shared" si="0"/>
        <v>11485.4</v>
      </c>
      <c r="F14" s="15">
        <f t="shared" si="0"/>
        <v>69181.099999999991</v>
      </c>
      <c r="G14" s="15">
        <f t="shared" si="0"/>
        <v>995.7</v>
      </c>
      <c r="H14" s="15">
        <f t="shared" si="0"/>
        <v>195353.4</v>
      </c>
      <c r="I14" s="15">
        <f t="shared" si="0"/>
        <v>0</v>
      </c>
    </row>
    <row r="15" spans="1:219" ht="38.1" customHeight="1" x14ac:dyDescent="0.3">
      <c r="A15" s="55"/>
      <c r="B15" s="56"/>
      <c r="C15" s="37">
        <v>2023</v>
      </c>
      <c r="D15" s="15">
        <f t="shared" si="0"/>
        <v>408613.69999999995</v>
      </c>
      <c r="E15" s="15">
        <f t="shared" si="0"/>
        <v>95082.099999999991</v>
      </c>
      <c r="F15" s="15">
        <f t="shared" si="0"/>
        <v>70635.700000000012</v>
      </c>
      <c r="G15" s="15">
        <f t="shared" si="0"/>
        <v>37769.4</v>
      </c>
      <c r="H15" s="15">
        <f t="shared" si="0"/>
        <v>205126.49999999997</v>
      </c>
      <c r="I15" s="15">
        <f t="shared" si="0"/>
        <v>0</v>
      </c>
    </row>
    <row r="16" spans="1:219" ht="38.1" customHeight="1" x14ac:dyDescent="0.3">
      <c r="A16" s="55"/>
      <c r="B16" s="56"/>
      <c r="C16" s="37">
        <v>2024</v>
      </c>
      <c r="D16" s="15">
        <f t="shared" ref="D16:I18" si="1">D25+D123+D145+D179</f>
        <v>344407</v>
      </c>
      <c r="E16" s="15">
        <f t="shared" si="1"/>
        <v>5298.8</v>
      </c>
      <c r="F16" s="15">
        <f t="shared" si="1"/>
        <v>55153.399999999994</v>
      </c>
      <c r="G16" s="15">
        <f t="shared" si="1"/>
        <v>91785.599999999991</v>
      </c>
      <c r="H16" s="15">
        <f t="shared" si="1"/>
        <v>182169.2</v>
      </c>
      <c r="I16" s="15">
        <f t="shared" si="1"/>
        <v>10000</v>
      </c>
    </row>
    <row r="17" spans="1:219" ht="38.1" customHeight="1" x14ac:dyDescent="0.3">
      <c r="A17" s="55"/>
      <c r="B17" s="56"/>
      <c r="C17" s="37">
        <v>2025</v>
      </c>
      <c r="D17" s="15">
        <f t="shared" si="1"/>
        <v>511956.69999999995</v>
      </c>
      <c r="E17" s="15">
        <f t="shared" si="1"/>
        <v>92235.9</v>
      </c>
      <c r="F17" s="15">
        <f t="shared" si="1"/>
        <v>102293.3</v>
      </c>
      <c r="G17" s="15">
        <f t="shared" si="1"/>
        <v>126159.2</v>
      </c>
      <c r="H17" s="15">
        <f t="shared" si="1"/>
        <v>184268.3</v>
      </c>
      <c r="I17" s="15">
        <f t="shared" si="1"/>
        <v>7000</v>
      </c>
    </row>
    <row r="18" spans="1:219" s="35" customFormat="1" ht="38.1" customHeight="1" x14ac:dyDescent="0.25">
      <c r="A18" s="55"/>
      <c r="B18" s="56"/>
      <c r="C18" s="37">
        <v>2026</v>
      </c>
      <c r="D18" s="15">
        <f t="shared" si="1"/>
        <v>942248.91734000004</v>
      </c>
      <c r="E18" s="15">
        <f t="shared" si="1"/>
        <v>98603.8</v>
      </c>
      <c r="F18" s="15">
        <f t="shared" si="1"/>
        <v>272454.2</v>
      </c>
      <c r="G18" s="15">
        <f t="shared" si="1"/>
        <v>332861.61734</v>
      </c>
      <c r="H18" s="15">
        <f t="shared" si="1"/>
        <v>225329.30000000002</v>
      </c>
      <c r="I18" s="15">
        <f t="shared" si="1"/>
        <v>13000</v>
      </c>
    </row>
    <row r="19" spans="1:219" ht="38.1" customHeight="1" x14ac:dyDescent="0.3">
      <c r="A19" s="55"/>
      <c r="B19" s="56"/>
      <c r="C19" s="37">
        <v>2027</v>
      </c>
      <c r="D19" s="33">
        <f>SUM(E19:I19)</f>
        <v>178194.80000000005</v>
      </c>
      <c r="E19" s="33">
        <f t="shared" ref="E19:I19" si="2">E126+E182</f>
        <v>0</v>
      </c>
      <c r="F19" s="33">
        <f t="shared" si="2"/>
        <v>0</v>
      </c>
      <c r="G19" s="33">
        <f t="shared" si="2"/>
        <v>0</v>
      </c>
      <c r="H19" s="33">
        <f t="shared" si="2"/>
        <v>178194.80000000005</v>
      </c>
      <c r="I19" s="33">
        <f t="shared" si="2"/>
        <v>0</v>
      </c>
    </row>
    <row r="20" spans="1:219" ht="38.1" customHeight="1" x14ac:dyDescent="0.3">
      <c r="A20" s="55"/>
      <c r="B20" s="56"/>
      <c r="C20" s="37">
        <v>2028</v>
      </c>
      <c r="D20" s="33">
        <f t="shared" ref="D20:H20" si="3">D29+D127+D183</f>
        <v>241036.5</v>
      </c>
      <c r="E20" s="33">
        <f t="shared" si="3"/>
        <v>0</v>
      </c>
      <c r="F20" s="33">
        <f t="shared" si="3"/>
        <v>63387.4</v>
      </c>
      <c r="G20" s="33">
        <f t="shared" si="3"/>
        <v>0</v>
      </c>
      <c r="H20" s="33">
        <f t="shared" si="3"/>
        <v>177649.09999999998</v>
      </c>
      <c r="I20" s="33">
        <f>I29+I127+I183</f>
        <v>0</v>
      </c>
    </row>
    <row r="21" spans="1:219" ht="38.1" customHeight="1" x14ac:dyDescent="0.3">
      <c r="A21" s="55"/>
      <c r="B21" s="56"/>
      <c r="C21" s="37" t="s">
        <v>16</v>
      </c>
      <c r="D21" s="15">
        <f>SUM(D14:D20)</f>
        <v>2903473.21734</v>
      </c>
      <c r="E21" s="15">
        <f t="shared" ref="E21:H21" si="4">SUM(E14:E20)</f>
        <v>302706</v>
      </c>
      <c r="F21" s="15">
        <f t="shared" si="4"/>
        <v>633105.1</v>
      </c>
      <c r="G21" s="15">
        <f t="shared" si="4"/>
        <v>589571.51734000002</v>
      </c>
      <c r="H21" s="15">
        <f t="shared" si="4"/>
        <v>1348090.6</v>
      </c>
      <c r="I21" s="15">
        <f>SUM(I14:I20)</f>
        <v>30000</v>
      </c>
    </row>
    <row r="22" spans="1:219" x14ac:dyDescent="0.3">
      <c r="A22" s="24" t="s">
        <v>17</v>
      </c>
      <c r="B22" s="25"/>
      <c r="C22" s="26"/>
      <c r="D22" s="27"/>
      <c r="E22" s="27"/>
      <c r="F22" s="27"/>
      <c r="G22" s="27"/>
      <c r="H22" s="27"/>
      <c r="I22" s="28"/>
    </row>
    <row r="23" spans="1:219" ht="18.75" customHeight="1" x14ac:dyDescent="0.3">
      <c r="A23" s="52" t="s">
        <v>78</v>
      </c>
      <c r="B23" s="49"/>
      <c r="C23" s="37">
        <v>2022</v>
      </c>
      <c r="D23" s="23">
        <f t="shared" ref="D23:I25" si="5">D31</f>
        <v>38878.399999999994</v>
      </c>
      <c r="E23" s="23">
        <f t="shared" si="5"/>
        <v>11353.3</v>
      </c>
      <c r="F23" s="23">
        <f t="shared" si="5"/>
        <v>24803.599999999999</v>
      </c>
      <c r="G23" s="23">
        <f t="shared" si="5"/>
        <v>0</v>
      </c>
      <c r="H23" s="23">
        <f t="shared" si="5"/>
        <v>2721.5</v>
      </c>
      <c r="I23" s="23">
        <f t="shared" si="5"/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</row>
    <row r="24" spans="1:219" x14ac:dyDescent="0.3">
      <c r="A24" s="53"/>
      <c r="B24" s="50"/>
      <c r="C24" s="37">
        <v>2023</v>
      </c>
      <c r="D24" s="15">
        <f t="shared" si="5"/>
        <v>151703.9</v>
      </c>
      <c r="E24" s="15">
        <f t="shared" si="5"/>
        <v>94877.9</v>
      </c>
      <c r="F24" s="15">
        <f t="shared" si="5"/>
        <v>30656.7</v>
      </c>
      <c r="G24" s="15">
        <f t="shared" si="5"/>
        <v>25000</v>
      </c>
      <c r="H24" s="15">
        <f t="shared" si="5"/>
        <v>1169.3</v>
      </c>
      <c r="I24" s="15">
        <f t="shared" si="5"/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</row>
    <row r="25" spans="1:219" x14ac:dyDescent="0.3">
      <c r="A25" s="53"/>
      <c r="B25" s="50"/>
      <c r="C25" s="37">
        <v>2024</v>
      </c>
      <c r="D25" s="15">
        <f t="shared" si="5"/>
        <v>19616.400000000001</v>
      </c>
      <c r="E25" s="15">
        <f t="shared" si="5"/>
        <v>4569</v>
      </c>
      <c r="F25" s="15">
        <f t="shared" si="5"/>
        <v>10431</v>
      </c>
      <c r="G25" s="15">
        <f t="shared" si="5"/>
        <v>0</v>
      </c>
      <c r="H25" s="15">
        <f t="shared" si="5"/>
        <v>4616.3999999999996</v>
      </c>
      <c r="I25" s="15">
        <f t="shared" si="5"/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</row>
    <row r="26" spans="1:219" x14ac:dyDescent="0.3">
      <c r="A26" s="53"/>
      <c r="B26" s="50"/>
      <c r="C26" s="37">
        <v>2025</v>
      </c>
      <c r="D26" s="15">
        <f t="shared" ref="D26:I28" si="6">D34+D55</f>
        <v>221257.19999999998</v>
      </c>
      <c r="E26" s="15">
        <f t="shared" si="6"/>
        <v>91986.4</v>
      </c>
      <c r="F26" s="15">
        <f t="shared" si="6"/>
        <v>85587.3</v>
      </c>
      <c r="G26" s="15">
        <f t="shared" si="6"/>
        <v>42894.799999999996</v>
      </c>
      <c r="H26" s="15">
        <f t="shared" si="6"/>
        <v>788.7</v>
      </c>
      <c r="I26" s="15">
        <f t="shared" si="6"/>
        <v>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</row>
    <row r="27" spans="1:219" x14ac:dyDescent="0.3">
      <c r="A27" s="53"/>
      <c r="B27" s="50"/>
      <c r="C27" s="37">
        <v>2026</v>
      </c>
      <c r="D27" s="15">
        <f>SUM(E27:I27)</f>
        <v>512610.7</v>
      </c>
      <c r="E27" s="15">
        <f t="shared" si="6"/>
        <v>97138</v>
      </c>
      <c r="F27" s="15">
        <f t="shared" si="6"/>
        <v>229020.5</v>
      </c>
      <c r="G27" s="15">
        <f t="shared" si="6"/>
        <v>184870.5</v>
      </c>
      <c r="H27" s="15">
        <f t="shared" si="6"/>
        <v>1581.6999999999998</v>
      </c>
      <c r="I27" s="15">
        <f t="shared" si="6"/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</row>
    <row r="28" spans="1:219" x14ac:dyDescent="0.3">
      <c r="A28" s="53"/>
      <c r="B28" s="50"/>
      <c r="C28" s="37">
        <v>2027</v>
      </c>
      <c r="D28" s="15">
        <f>SUM(E28:I28)</f>
        <v>0</v>
      </c>
      <c r="E28" s="15">
        <f t="shared" si="6"/>
        <v>0</v>
      </c>
      <c r="F28" s="15">
        <f t="shared" si="6"/>
        <v>0</v>
      </c>
      <c r="G28" s="15">
        <f t="shared" si="6"/>
        <v>0</v>
      </c>
      <c r="H28" s="15">
        <f t="shared" si="6"/>
        <v>0</v>
      </c>
      <c r="I28" s="15">
        <f>I36+I57</f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</row>
    <row r="29" spans="1:219" x14ac:dyDescent="0.3">
      <c r="A29" s="53"/>
      <c r="B29" s="50"/>
      <c r="C29" s="37">
        <v>2028</v>
      </c>
      <c r="D29" s="15">
        <f t="shared" ref="D29:H29" si="7">D58</f>
        <v>64027.700000000004</v>
      </c>
      <c r="E29" s="15">
        <f t="shared" si="7"/>
        <v>0</v>
      </c>
      <c r="F29" s="15">
        <f t="shared" si="7"/>
        <v>63387.4</v>
      </c>
      <c r="G29" s="15">
        <f t="shared" si="7"/>
        <v>0</v>
      </c>
      <c r="H29" s="15">
        <f t="shared" si="7"/>
        <v>640.29999999999995</v>
      </c>
      <c r="I29" s="15">
        <f>I58</f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</row>
    <row r="30" spans="1:219" x14ac:dyDescent="0.3">
      <c r="A30" s="54"/>
      <c r="B30" s="51"/>
      <c r="C30" s="37" t="s">
        <v>16</v>
      </c>
      <c r="D30" s="15">
        <f t="shared" ref="D30:H30" si="8">SUM(D23:D29)</f>
        <v>1008094.2999999999</v>
      </c>
      <c r="E30" s="15">
        <f t="shared" si="8"/>
        <v>299924.59999999998</v>
      </c>
      <c r="F30" s="15">
        <f t="shared" si="8"/>
        <v>443886.5</v>
      </c>
      <c r="G30" s="15">
        <f t="shared" si="8"/>
        <v>252765.3</v>
      </c>
      <c r="H30" s="15">
        <f t="shared" si="8"/>
        <v>11517.900000000001</v>
      </c>
      <c r="I30" s="15">
        <f>SUM(I23:I29)</f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</row>
    <row r="31" spans="1:219" ht="19.5" customHeight="1" x14ac:dyDescent="0.3">
      <c r="A31" s="52" t="s">
        <v>79</v>
      </c>
      <c r="B31" s="49"/>
      <c r="C31" s="37">
        <v>2022</v>
      </c>
      <c r="D31" s="15">
        <f t="shared" ref="D31:I37" si="9">D39+D47</f>
        <v>38878.399999999994</v>
      </c>
      <c r="E31" s="15">
        <f t="shared" si="9"/>
        <v>11353.3</v>
      </c>
      <c r="F31" s="15">
        <f t="shared" si="9"/>
        <v>24803.599999999999</v>
      </c>
      <c r="G31" s="15">
        <f t="shared" si="9"/>
        <v>0</v>
      </c>
      <c r="H31" s="15">
        <f t="shared" si="9"/>
        <v>2721.5</v>
      </c>
      <c r="I31" s="15">
        <f t="shared" si="9"/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</row>
    <row r="32" spans="1:219" ht="19.5" customHeight="1" x14ac:dyDescent="0.3">
      <c r="A32" s="53"/>
      <c r="B32" s="50"/>
      <c r="C32" s="37">
        <v>2023</v>
      </c>
      <c r="D32" s="15">
        <f t="shared" si="9"/>
        <v>151703.9</v>
      </c>
      <c r="E32" s="15">
        <f t="shared" si="9"/>
        <v>94877.9</v>
      </c>
      <c r="F32" s="15">
        <f t="shared" si="9"/>
        <v>30656.7</v>
      </c>
      <c r="G32" s="15">
        <f t="shared" si="9"/>
        <v>25000</v>
      </c>
      <c r="H32" s="15">
        <f t="shared" si="9"/>
        <v>1169.3</v>
      </c>
      <c r="I32" s="15">
        <f t="shared" si="9"/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</row>
    <row r="33" spans="1:219" ht="19.5" customHeight="1" x14ac:dyDescent="0.3">
      <c r="A33" s="53"/>
      <c r="B33" s="50"/>
      <c r="C33" s="37">
        <v>2024</v>
      </c>
      <c r="D33" s="15">
        <f>SUM(E33:I33)</f>
        <v>19616.400000000001</v>
      </c>
      <c r="E33" s="15">
        <f t="shared" si="9"/>
        <v>4569</v>
      </c>
      <c r="F33" s="15">
        <f t="shared" si="9"/>
        <v>10431</v>
      </c>
      <c r="G33" s="15">
        <f t="shared" si="9"/>
        <v>0</v>
      </c>
      <c r="H33" s="15">
        <f t="shared" si="9"/>
        <v>4616.3999999999996</v>
      </c>
      <c r="I33" s="15">
        <f t="shared" si="9"/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</row>
    <row r="34" spans="1:219" ht="19.5" customHeight="1" x14ac:dyDescent="0.3">
      <c r="A34" s="53"/>
      <c r="B34" s="50"/>
      <c r="C34" s="37">
        <v>2025</v>
      </c>
      <c r="D34" s="15">
        <f>SUM(E34:I34)</f>
        <v>167558.79999999999</v>
      </c>
      <c r="E34" s="15">
        <f t="shared" si="9"/>
        <v>91986.4</v>
      </c>
      <c r="F34" s="15">
        <f t="shared" si="9"/>
        <v>32515.300000000003</v>
      </c>
      <c r="G34" s="15">
        <f t="shared" si="9"/>
        <v>42358.7</v>
      </c>
      <c r="H34" s="15">
        <f t="shared" si="9"/>
        <v>698.4</v>
      </c>
      <c r="I34" s="15">
        <f t="shared" si="9"/>
        <v>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</row>
    <row r="35" spans="1:219" ht="19.5" customHeight="1" x14ac:dyDescent="0.3">
      <c r="A35" s="53"/>
      <c r="B35" s="50"/>
      <c r="C35" s="37">
        <v>2026</v>
      </c>
      <c r="D35" s="15">
        <f>SUM(E35:I35)</f>
        <v>354441.7</v>
      </c>
      <c r="E35" s="15">
        <f t="shared" si="9"/>
        <v>97138</v>
      </c>
      <c r="F35" s="15">
        <f t="shared" si="9"/>
        <v>72433.2</v>
      </c>
      <c r="G35" s="15">
        <f t="shared" si="9"/>
        <v>184870.5</v>
      </c>
      <c r="H35" s="15">
        <f t="shared" si="9"/>
        <v>0</v>
      </c>
      <c r="I35" s="15">
        <f t="shared" si="9"/>
        <v>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</row>
    <row r="36" spans="1:219" ht="19.5" customHeight="1" x14ac:dyDescent="0.3">
      <c r="A36" s="53"/>
      <c r="B36" s="50"/>
      <c r="C36" s="37">
        <v>2027</v>
      </c>
      <c r="D36" s="15">
        <f>SUM(E36:I36)</f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  <c r="I36" s="15">
        <f>I44+I52</f>
        <v>0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</row>
    <row r="37" spans="1:219" ht="19.5" customHeight="1" x14ac:dyDescent="0.3">
      <c r="A37" s="53"/>
      <c r="B37" s="50"/>
      <c r="C37" s="37">
        <v>2028</v>
      </c>
      <c r="D37" s="15">
        <f>SUM(E37:I37)</f>
        <v>0</v>
      </c>
      <c r="E37" s="15">
        <f t="shared" si="9"/>
        <v>0</v>
      </c>
      <c r="F37" s="15">
        <f t="shared" si="9"/>
        <v>0</v>
      </c>
      <c r="G37" s="15">
        <f t="shared" si="9"/>
        <v>0</v>
      </c>
      <c r="H37" s="15">
        <f t="shared" si="9"/>
        <v>0</v>
      </c>
      <c r="I37" s="15">
        <f>I45+I53</f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</row>
    <row r="38" spans="1:219" ht="19.5" customHeight="1" x14ac:dyDescent="0.3">
      <c r="A38" s="54"/>
      <c r="B38" s="51"/>
      <c r="C38" s="37" t="s">
        <v>16</v>
      </c>
      <c r="D38" s="15">
        <f t="shared" ref="D38:H38" si="10">SUM(D31:D37)</f>
        <v>732199.2</v>
      </c>
      <c r="E38" s="15">
        <f t="shared" si="10"/>
        <v>299924.59999999998</v>
      </c>
      <c r="F38" s="15">
        <f t="shared" si="10"/>
        <v>170839.8</v>
      </c>
      <c r="G38" s="15">
        <f t="shared" si="10"/>
        <v>252229.2</v>
      </c>
      <c r="H38" s="15">
        <f t="shared" si="10"/>
        <v>9205.6</v>
      </c>
      <c r="I38" s="15">
        <f>SUM(I31:I37)</f>
        <v>0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</row>
    <row r="39" spans="1:219" ht="19.5" customHeight="1" x14ac:dyDescent="0.3">
      <c r="A39" s="46" t="s">
        <v>92</v>
      </c>
      <c r="B39" s="49"/>
      <c r="C39" s="38">
        <v>2022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1:219" ht="19.5" customHeight="1" x14ac:dyDescent="0.3">
      <c r="A40" s="47"/>
      <c r="B40" s="50"/>
      <c r="C40" s="38">
        <v>2023</v>
      </c>
      <c r="D40" s="14">
        <f>SUM(E40:I40)</f>
        <v>135000</v>
      </c>
      <c r="E40" s="14">
        <v>90000</v>
      </c>
      <c r="F40" s="14">
        <v>20000</v>
      </c>
      <c r="G40" s="14">
        <v>25000</v>
      </c>
      <c r="H40" s="14">
        <v>0</v>
      </c>
      <c r="I40" s="14">
        <v>0</v>
      </c>
    </row>
    <row r="41" spans="1:219" ht="19.5" customHeight="1" x14ac:dyDescent="0.3">
      <c r="A41" s="47"/>
      <c r="B41" s="50"/>
      <c r="C41" s="38">
        <v>2024</v>
      </c>
      <c r="D41" s="14">
        <f>SUM(E41:I41)</f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</row>
    <row r="42" spans="1:219" ht="19.5" customHeight="1" x14ac:dyDescent="0.3">
      <c r="A42" s="47"/>
      <c r="B42" s="50"/>
      <c r="C42" s="38">
        <v>2025</v>
      </c>
      <c r="D42" s="14">
        <f>SUM(E42:I42)</f>
        <v>146230.79999999999</v>
      </c>
      <c r="E42" s="14">
        <f>90235.3-3874.8</f>
        <v>86360.5</v>
      </c>
      <c r="F42" s="14">
        <f>20000-858.8-0.1+0.1</f>
        <v>19141.2</v>
      </c>
      <c r="G42" s="14">
        <f>42556.5-1827.4</f>
        <v>40729.1</v>
      </c>
      <c r="H42" s="14">
        <v>0</v>
      </c>
      <c r="I42" s="14">
        <v>0</v>
      </c>
    </row>
    <row r="43" spans="1:219" ht="19.5" customHeight="1" x14ac:dyDescent="0.3">
      <c r="A43" s="47"/>
      <c r="B43" s="50"/>
      <c r="C43" s="38">
        <v>2026</v>
      </c>
      <c r="D43" s="14">
        <f>SUM(E43:I43)</f>
        <v>324000</v>
      </c>
      <c r="E43" s="14">
        <v>91848.4</v>
      </c>
      <c r="F43" s="14">
        <v>58722.8</v>
      </c>
      <c r="G43" s="14">
        <f>177000-3571.2</f>
        <v>173428.8</v>
      </c>
      <c r="H43" s="14">
        <v>0</v>
      </c>
      <c r="I43" s="14">
        <v>0</v>
      </c>
    </row>
    <row r="44" spans="1:219" ht="19.5" customHeight="1" x14ac:dyDescent="0.3">
      <c r="A44" s="47"/>
      <c r="B44" s="50"/>
      <c r="C44" s="38">
        <v>2027</v>
      </c>
      <c r="D44" s="14">
        <f t="shared" ref="D44:D45" si="11">SUM(E44:I44)</f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1:219" ht="19.5" customHeight="1" x14ac:dyDescent="0.3">
      <c r="A45" s="47"/>
      <c r="B45" s="50"/>
      <c r="C45" s="38">
        <v>2028</v>
      </c>
      <c r="D45" s="14">
        <f t="shared" si="11"/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1:219" ht="19.5" customHeight="1" x14ac:dyDescent="0.3">
      <c r="A46" s="48"/>
      <c r="B46" s="51"/>
      <c r="C46" s="38" t="s">
        <v>16</v>
      </c>
      <c r="D46" s="14">
        <f t="shared" ref="D46:H46" si="12">SUM(D39:D45)</f>
        <v>605230.80000000005</v>
      </c>
      <c r="E46" s="14">
        <f t="shared" si="12"/>
        <v>268208.90000000002</v>
      </c>
      <c r="F46" s="14">
        <f t="shared" si="12"/>
        <v>97864</v>
      </c>
      <c r="G46" s="14">
        <f t="shared" si="12"/>
        <v>239157.9</v>
      </c>
      <c r="H46" s="14">
        <f t="shared" si="12"/>
        <v>0</v>
      </c>
      <c r="I46" s="14">
        <f>SUM(I39:I45)</f>
        <v>0</v>
      </c>
    </row>
    <row r="47" spans="1:219" ht="18.75" customHeight="1" x14ac:dyDescent="0.3">
      <c r="A47" s="46" t="s">
        <v>18</v>
      </c>
      <c r="B47" s="49"/>
      <c r="C47" s="38">
        <v>2022</v>
      </c>
      <c r="D47" s="14">
        <f t="shared" ref="D47:D50" si="13">SUM(E47:I47)</f>
        <v>38878.399999999994</v>
      </c>
      <c r="E47" s="14">
        <v>11353.3</v>
      </c>
      <c r="F47" s="14">
        <v>24803.599999999999</v>
      </c>
      <c r="G47" s="14">
        <v>0</v>
      </c>
      <c r="H47" s="14">
        <v>2721.5</v>
      </c>
      <c r="I47" s="14">
        <v>0</v>
      </c>
    </row>
    <row r="48" spans="1:219" x14ac:dyDescent="0.3">
      <c r="A48" s="47"/>
      <c r="B48" s="50"/>
      <c r="C48" s="38">
        <v>2023</v>
      </c>
      <c r="D48" s="14">
        <f t="shared" si="13"/>
        <v>16703.900000000001</v>
      </c>
      <c r="E48" s="14">
        <v>4877.8999999999996</v>
      </c>
      <c r="F48" s="14">
        <v>10656.7</v>
      </c>
      <c r="G48" s="14">
        <v>0</v>
      </c>
      <c r="H48" s="14">
        <v>1169.3</v>
      </c>
      <c r="I48" s="14">
        <v>0</v>
      </c>
    </row>
    <row r="49" spans="1:219" x14ac:dyDescent="0.3">
      <c r="A49" s="47"/>
      <c r="B49" s="50"/>
      <c r="C49" s="38">
        <v>2024</v>
      </c>
      <c r="D49" s="14">
        <f t="shared" si="13"/>
        <v>19616.400000000001</v>
      </c>
      <c r="E49" s="14">
        <v>4569</v>
      </c>
      <c r="F49" s="14">
        <v>10431</v>
      </c>
      <c r="G49" s="14">
        <v>0</v>
      </c>
      <c r="H49" s="14">
        <v>4616.3999999999996</v>
      </c>
      <c r="I49" s="14">
        <v>0</v>
      </c>
    </row>
    <row r="50" spans="1:219" x14ac:dyDescent="0.3">
      <c r="A50" s="47"/>
      <c r="B50" s="50"/>
      <c r="C50" s="38">
        <v>2025</v>
      </c>
      <c r="D50" s="14">
        <f t="shared" si="13"/>
        <v>21328</v>
      </c>
      <c r="E50" s="14">
        <v>5625.9</v>
      </c>
      <c r="F50" s="14">
        <v>13374.1</v>
      </c>
      <c r="G50" s="14">
        <v>1629.6</v>
      </c>
      <c r="H50" s="14">
        <v>698.4</v>
      </c>
      <c r="I50" s="14">
        <v>0</v>
      </c>
    </row>
    <row r="51" spans="1:219" x14ac:dyDescent="0.3">
      <c r="A51" s="47"/>
      <c r="B51" s="50"/>
      <c r="C51" s="38">
        <v>2026</v>
      </c>
      <c r="D51" s="14">
        <f>SUM(E51:I51)</f>
        <v>30441.7</v>
      </c>
      <c r="E51" s="14">
        <v>5289.6</v>
      </c>
      <c r="F51" s="14">
        <v>13710.4</v>
      </c>
      <c r="G51" s="14">
        <v>11441.7</v>
      </c>
      <c r="H51" s="14">
        <v>0</v>
      </c>
      <c r="I51" s="14">
        <v>0</v>
      </c>
    </row>
    <row r="52" spans="1:219" x14ac:dyDescent="0.3">
      <c r="A52" s="47"/>
      <c r="B52" s="50"/>
      <c r="C52" s="38">
        <v>2027</v>
      </c>
      <c r="D52" s="14">
        <f t="shared" ref="D52:D53" si="14">SUM(E52:I52)</f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1:219" x14ac:dyDescent="0.3">
      <c r="A53" s="47"/>
      <c r="B53" s="50"/>
      <c r="C53" s="38">
        <v>2028</v>
      </c>
      <c r="D53" s="14">
        <f t="shared" si="14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</row>
    <row r="54" spans="1:219" x14ac:dyDescent="0.3">
      <c r="A54" s="48"/>
      <c r="B54" s="51"/>
      <c r="C54" s="38" t="s">
        <v>16</v>
      </c>
      <c r="D54" s="14">
        <f t="shared" ref="D54:H54" si="15">SUM(D47:D53)</f>
        <v>126968.4</v>
      </c>
      <c r="E54" s="14">
        <f t="shared" si="15"/>
        <v>31715.699999999997</v>
      </c>
      <c r="F54" s="14">
        <f t="shared" si="15"/>
        <v>72975.8</v>
      </c>
      <c r="G54" s="14">
        <f t="shared" si="15"/>
        <v>13071.300000000001</v>
      </c>
      <c r="H54" s="14">
        <f t="shared" si="15"/>
        <v>9205.6</v>
      </c>
      <c r="I54" s="14">
        <f>SUM(I47:I53)</f>
        <v>0</v>
      </c>
    </row>
    <row r="55" spans="1:219" ht="19.5" customHeight="1" x14ac:dyDescent="0.3">
      <c r="A55" s="52" t="s">
        <v>88</v>
      </c>
      <c r="B55" s="50"/>
      <c r="C55" s="37">
        <v>2025</v>
      </c>
      <c r="D55" s="15">
        <f>SUM(E55:I55)</f>
        <v>53698.400000000001</v>
      </c>
      <c r="E55" s="15">
        <f t="shared" ref="E55:I57" si="16">E60+E65+E70</f>
        <v>0</v>
      </c>
      <c r="F55" s="15">
        <f t="shared" si="16"/>
        <v>53072</v>
      </c>
      <c r="G55" s="15">
        <f t="shared" si="16"/>
        <v>536.1</v>
      </c>
      <c r="H55" s="15">
        <f t="shared" si="16"/>
        <v>90.300000000000011</v>
      </c>
      <c r="I55" s="15">
        <f t="shared" si="16"/>
        <v>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</row>
    <row r="56" spans="1:219" ht="19.5" customHeight="1" x14ac:dyDescent="0.3">
      <c r="A56" s="53"/>
      <c r="B56" s="50"/>
      <c r="C56" s="37">
        <v>2026</v>
      </c>
      <c r="D56" s="15">
        <f>SUM(E56:I56)</f>
        <v>158169</v>
      </c>
      <c r="E56" s="15">
        <f t="shared" si="16"/>
        <v>0</v>
      </c>
      <c r="F56" s="15">
        <f t="shared" si="16"/>
        <v>156587.29999999999</v>
      </c>
      <c r="G56" s="15">
        <f t="shared" si="16"/>
        <v>0</v>
      </c>
      <c r="H56" s="15">
        <f t="shared" si="16"/>
        <v>1581.6999999999998</v>
      </c>
      <c r="I56" s="15">
        <f t="shared" si="16"/>
        <v>0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</row>
    <row r="57" spans="1:219" ht="19.5" customHeight="1" x14ac:dyDescent="0.3">
      <c r="A57" s="53"/>
      <c r="B57" s="50"/>
      <c r="C57" s="37">
        <v>2027</v>
      </c>
      <c r="D57" s="15">
        <f>SUM(E57:I57)</f>
        <v>0</v>
      </c>
      <c r="E57" s="15">
        <f t="shared" si="16"/>
        <v>0</v>
      </c>
      <c r="F57" s="15">
        <f t="shared" si="16"/>
        <v>0</v>
      </c>
      <c r="G57" s="15">
        <f t="shared" si="16"/>
        <v>0</v>
      </c>
      <c r="H57" s="15">
        <f t="shared" si="16"/>
        <v>0</v>
      </c>
      <c r="I57" s="15">
        <f>I62+I67+I72</f>
        <v>0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</row>
    <row r="58" spans="1:219" ht="19.5" customHeight="1" x14ac:dyDescent="0.3">
      <c r="A58" s="53"/>
      <c r="B58" s="50"/>
      <c r="C58" s="37">
        <v>2028</v>
      </c>
      <c r="D58" s="15">
        <f t="shared" ref="D58:H58" si="17">D63+D68</f>
        <v>64027.700000000004</v>
      </c>
      <c r="E58" s="15">
        <f t="shared" si="17"/>
        <v>0</v>
      </c>
      <c r="F58" s="15">
        <f t="shared" si="17"/>
        <v>63387.4</v>
      </c>
      <c r="G58" s="15">
        <f t="shared" si="17"/>
        <v>0</v>
      </c>
      <c r="H58" s="15">
        <f t="shared" si="17"/>
        <v>640.29999999999995</v>
      </c>
      <c r="I58" s="15">
        <f>I63+I68</f>
        <v>0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</row>
    <row r="59" spans="1:219" ht="19.5" customHeight="1" x14ac:dyDescent="0.3">
      <c r="A59" s="54"/>
      <c r="B59" s="51"/>
      <c r="C59" s="37" t="s">
        <v>16</v>
      </c>
      <c r="D59" s="15">
        <f t="shared" ref="D59:H59" si="18">SUM(D55:D58)</f>
        <v>275895.09999999998</v>
      </c>
      <c r="E59" s="15">
        <f t="shared" si="18"/>
        <v>0</v>
      </c>
      <c r="F59" s="15">
        <f t="shared" si="18"/>
        <v>273046.7</v>
      </c>
      <c r="G59" s="15">
        <f t="shared" si="18"/>
        <v>536.1</v>
      </c>
      <c r="H59" s="15">
        <f t="shared" si="18"/>
        <v>2312.2999999999997</v>
      </c>
      <c r="I59" s="15">
        <f>SUM(I55:I58)</f>
        <v>0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</row>
    <row r="60" spans="1:219" ht="19.5" customHeight="1" x14ac:dyDescent="0.3">
      <c r="A60" s="46" t="s">
        <v>89</v>
      </c>
      <c r="B60" s="50"/>
      <c r="C60" s="38">
        <v>2025</v>
      </c>
      <c r="D60" s="14">
        <f>SUM(E60:I60)</f>
        <v>626.40000000000009</v>
      </c>
      <c r="E60" s="14">
        <v>0</v>
      </c>
      <c r="F60" s="14">
        <v>0</v>
      </c>
      <c r="G60" s="14">
        <f>536.1-0.1+0.1</f>
        <v>536.1</v>
      </c>
      <c r="H60" s="14">
        <f>0+90.4-0.1</f>
        <v>90.300000000000011</v>
      </c>
      <c r="I60" s="14">
        <v>0</v>
      </c>
    </row>
    <row r="61" spans="1:219" ht="19.5" customHeight="1" x14ac:dyDescent="0.3">
      <c r="A61" s="47"/>
      <c r="B61" s="50"/>
      <c r="C61" s="38">
        <v>2026</v>
      </c>
      <c r="D61" s="14">
        <f>SUM(E61:I61)</f>
        <v>1581.6999999999998</v>
      </c>
      <c r="E61" s="14">
        <v>0</v>
      </c>
      <c r="F61" s="14">
        <v>0</v>
      </c>
      <c r="G61" s="14">
        <v>0</v>
      </c>
      <c r="H61" s="14">
        <f>381.4+1200.3</f>
        <v>1581.6999999999998</v>
      </c>
      <c r="I61" s="14">
        <v>0</v>
      </c>
    </row>
    <row r="62" spans="1:219" ht="19.5" customHeight="1" x14ac:dyDescent="0.3">
      <c r="A62" s="47"/>
      <c r="B62" s="50"/>
      <c r="C62" s="38">
        <v>2027</v>
      </c>
      <c r="D62" s="14">
        <f>SUM(E62:I62)</f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1:219" ht="19.5" customHeight="1" x14ac:dyDescent="0.3">
      <c r="A63" s="47"/>
      <c r="B63" s="50"/>
      <c r="C63" s="38">
        <v>2028</v>
      </c>
      <c r="D63" s="14">
        <f>SUM(E63:I63)</f>
        <v>640.29999999999995</v>
      </c>
      <c r="E63" s="14">
        <v>0</v>
      </c>
      <c r="F63" s="14">
        <v>0</v>
      </c>
      <c r="G63" s="14">
        <v>0</v>
      </c>
      <c r="H63" s="14">
        <v>640.29999999999995</v>
      </c>
      <c r="I63" s="14">
        <v>0</v>
      </c>
    </row>
    <row r="64" spans="1:219" ht="19.5" customHeight="1" x14ac:dyDescent="0.3">
      <c r="A64" s="48"/>
      <c r="B64" s="51"/>
      <c r="C64" s="38" t="s">
        <v>16</v>
      </c>
      <c r="D64" s="14">
        <f t="shared" ref="D64:H64" si="19">SUM(D60:D63)</f>
        <v>2848.3999999999996</v>
      </c>
      <c r="E64" s="14">
        <f t="shared" si="19"/>
        <v>0</v>
      </c>
      <c r="F64" s="14">
        <f t="shared" si="19"/>
        <v>0</v>
      </c>
      <c r="G64" s="14">
        <f t="shared" si="19"/>
        <v>536.1</v>
      </c>
      <c r="H64" s="14">
        <f t="shared" si="19"/>
        <v>2312.2999999999997</v>
      </c>
      <c r="I64" s="14">
        <f>SUM(I60:I63)</f>
        <v>0</v>
      </c>
    </row>
    <row r="65" spans="1:219" ht="19.5" customHeight="1" x14ac:dyDescent="0.3">
      <c r="A65" s="46" t="s">
        <v>90</v>
      </c>
      <c r="B65" s="50"/>
      <c r="C65" s="38">
        <v>2025</v>
      </c>
      <c r="D65" s="14">
        <f>SUM(E65:I65)</f>
        <v>39795</v>
      </c>
      <c r="E65" s="14">
        <v>0</v>
      </c>
      <c r="F65" s="14">
        <v>39795</v>
      </c>
      <c r="G65" s="14">
        <v>0</v>
      </c>
      <c r="H65" s="14">
        <v>0</v>
      </c>
      <c r="I65" s="14">
        <v>0</v>
      </c>
    </row>
    <row r="66" spans="1:219" ht="19.5" customHeight="1" x14ac:dyDescent="0.3">
      <c r="A66" s="47"/>
      <c r="B66" s="50"/>
      <c r="C66" s="38">
        <v>2026</v>
      </c>
      <c r="D66" s="14">
        <f>SUM(E66:I66)</f>
        <v>121425.60000000001</v>
      </c>
      <c r="E66" s="14">
        <v>0</v>
      </c>
      <c r="F66" s="14">
        <f>37756.5+83669.1</f>
        <v>121425.60000000001</v>
      </c>
      <c r="G66" s="14">
        <v>0</v>
      </c>
      <c r="H66" s="14">
        <v>0</v>
      </c>
      <c r="I66" s="14">
        <v>0</v>
      </c>
    </row>
    <row r="67" spans="1:219" ht="19.5" customHeight="1" x14ac:dyDescent="0.3">
      <c r="A67" s="47"/>
      <c r="B67" s="50"/>
      <c r="C67" s="38">
        <v>2027</v>
      </c>
      <c r="D67" s="14">
        <f>SUM(E67:I67)</f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</row>
    <row r="68" spans="1:219" ht="19.5" customHeight="1" x14ac:dyDescent="0.3">
      <c r="A68" s="47"/>
      <c r="B68" s="50"/>
      <c r="C68" s="38">
        <v>2028</v>
      </c>
      <c r="D68" s="14">
        <f>SUM(E68:I68)</f>
        <v>63387.4</v>
      </c>
      <c r="E68" s="14">
        <v>0</v>
      </c>
      <c r="F68" s="14">
        <v>63387.4</v>
      </c>
      <c r="G68" s="14">
        <v>0</v>
      </c>
      <c r="H68" s="14">
        <v>0</v>
      </c>
      <c r="I68" s="14">
        <v>0</v>
      </c>
    </row>
    <row r="69" spans="1:219" ht="19.5" customHeight="1" x14ac:dyDescent="0.3">
      <c r="A69" s="48"/>
      <c r="B69" s="51"/>
      <c r="C69" s="38" t="s">
        <v>16</v>
      </c>
      <c r="D69" s="14">
        <f t="shared" ref="D69:H69" si="20">SUM(D65:D68)</f>
        <v>224608</v>
      </c>
      <c r="E69" s="14">
        <f t="shared" si="20"/>
        <v>0</v>
      </c>
      <c r="F69" s="14">
        <f t="shared" si="20"/>
        <v>224608</v>
      </c>
      <c r="G69" s="14">
        <f t="shared" si="20"/>
        <v>0</v>
      </c>
      <c r="H69" s="14">
        <f t="shared" si="20"/>
        <v>0</v>
      </c>
      <c r="I69" s="14">
        <f>SUM(I65:I68)</f>
        <v>0</v>
      </c>
    </row>
    <row r="70" spans="1:219" ht="19.5" customHeight="1" x14ac:dyDescent="0.3">
      <c r="A70" s="46" t="s">
        <v>91</v>
      </c>
      <c r="B70" s="50"/>
      <c r="C70" s="38">
        <v>2025</v>
      </c>
      <c r="D70" s="14">
        <f>SUM(E70:I70)</f>
        <v>13277</v>
      </c>
      <c r="E70" s="14">
        <v>0</v>
      </c>
      <c r="F70" s="14">
        <v>13277</v>
      </c>
      <c r="G70" s="14">
        <v>0</v>
      </c>
      <c r="H70" s="14">
        <v>0</v>
      </c>
      <c r="I70" s="14">
        <v>0</v>
      </c>
    </row>
    <row r="71" spans="1:219" ht="19.5" customHeight="1" x14ac:dyDescent="0.3">
      <c r="A71" s="47"/>
      <c r="B71" s="50"/>
      <c r="C71" s="38">
        <v>2026</v>
      </c>
      <c r="D71" s="14">
        <f>SUM(E71:I71)</f>
        <v>35161.699999999997</v>
      </c>
      <c r="E71" s="14">
        <v>0</v>
      </c>
      <c r="F71" s="14">
        <f>0+35161.7</f>
        <v>35161.699999999997</v>
      </c>
      <c r="G71" s="14">
        <v>0</v>
      </c>
      <c r="H71" s="14">
        <v>0</v>
      </c>
      <c r="I71" s="14">
        <v>0</v>
      </c>
    </row>
    <row r="72" spans="1:219" ht="19.5" customHeight="1" x14ac:dyDescent="0.3">
      <c r="A72" s="47"/>
      <c r="B72" s="50"/>
      <c r="C72" s="38">
        <v>2027</v>
      </c>
      <c r="D72" s="14">
        <f>SUM(E72:I72)</f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</row>
    <row r="73" spans="1:219" ht="19.5" customHeight="1" x14ac:dyDescent="0.3">
      <c r="A73" s="47"/>
      <c r="B73" s="50"/>
      <c r="C73" s="38">
        <v>2028</v>
      </c>
      <c r="D73" s="14">
        <f>SUM(E73:I73)</f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</row>
    <row r="74" spans="1:219" ht="19.5" customHeight="1" x14ac:dyDescent="0.3">
      <c r="A74" s="48"/>
      <c r="B74" s="51"/>
      <c r="C74" s="38" t="s">
        <v>16</v>
      </c>
      <c r="D74" s="14">
        <f t="shared" ref="D74:H74" si="21">SUM(D70:D73)</f>
        <v>48438.7</v>
      </c>
      <c r="E74" s="14">
        <f t="shared" si="21"/>
        <v>0</v>
      </c>
      <c r="F74" s="14">
        <f t="shared" si="21"/>
        <v>48438.7</v>
      </c>
      <c r="G74" s="14">
        <f t="shared" si="21"/>
        <v>0</v>
      </c>
      <c r="H74" s="14">
        <f t="shared" si="21"/>
        <v>0</v>
      </c>
      <c r="I74" s="14">
        <f>SUM(I70:I73)</f>
        <v>0</v>
      </c>
    </row>
    <row r="75" spans="1:219" x14ac:dyDescent="0.3">
      <c r="A75" s="55" t="s">
        <v>57</v>
      </c>
      <c r="B75" s="57"/>
      <c r="C75" s="37">
        <v>2022</v>
      </c>
      <c r="D75" s="22">
        <f t="shared" ref="D75:G75" si="22">D78+D84+D96+D111+D117</f>
        <v>54988.5</v>
      </c>
      <c r="E75" s="22">
        <f t="shared" si="22"/>
        <v>0</v>
      </c>
      <c r="F75" s="22">
        <f t="shared" si="22"/>
        <v>40132.1</v>
      </c>
      <c r="G75" s="22">
        <f t="shared" si="22"/>
        <v>0</v>
      </c>
      <c r="H75" s="22">
        <f>H78+H84+H96+H111+H117</f>
        <v>14856.400000000001</v>
      </c>
      <c r="I75" s="22">
        <f>(I78+I84+I90+I96+I111+I164)</f>
        <v>0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</row>
    <row r="76" spans="1:219" x14ac:dyDescent="0.3">
      <c r="A76" s="55"/>
      <c r="B76" s="58"/>
      <c r="C76" s="37">
        <v>2023</v>
      </c>
      <c r="D76" s="22">
        <f t="shared" ref="D76:G76" si="23">D79+D85+D91+D97+D112+D118</f>
        <v>65759</v>
      </c>
      <c r="E76" s="22">
        <f t="shared" si="23"/>
        <v>0</v>
      </c>
      <c r="F76" s="22">
        <f t="shared" si="23"/>
        <v>34603.4</v>
      </c>
      <c r="G76" s="22">
        <f t="shared" si="23"/>
        <v>0</v>
      </c>
      <c r="H76" s="22">
        <f>H79+H85+H91+H97+H112+H118</f>
        <v>31155.599999999999</v>
      </c>
      <c r="I76" s="22">
        <f>I79+I85+I91+I97+I112+I118</f>
        <v>0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</row>
    <row r="77" spans="1:219" x14ac:dyDescent="0.3">
      <c r="A77" s="55"/>
      <c r="B77" s="59"/>
      <c r="C77" s="37" t="s">
        <v>16</v>
      </c>
      <c r="D77" s="15">
        <f t="shared" ref="D77:I77" si="24">SUM(D75:D76)</f>
        <v>120747.5</v>
      </c>
      <c r="E77" s="15">
        <f t="shared" si="24"/>
        <v>0</v>
      </c>
      <c r="F77" s="15">
        <f t="shared" si="24"/>
        <v>74735.5</v>
      </c>
      <c r="G77" s="15">
        <f t="shared" si="24"/>
        <v>0</v>
      </c>
      <c r="H77" s="15">
        <f t="shared" si="24"/>
        <v>46012</v>
      </c>
      <c r="I77" s="15">
        <f t="shared" si="24"/>
        <v>0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</row>
    <row r="78" spans="1:219" x14ac:dyDescent="0.3">
      <c r="A78" s="55" t="s">
        <v>58</v>
      </c>
      <c r="B78" s="49"/>
      <c r="C78" s="37">
        <v>2022</v>
      </c>
      <c r="D78" s="15">
        <f t="shared" ref="D78:I79" si="25">D81</f>
        <v>18956.400000000001</v>
      </c>
      <c r="E78" s="15">
        <f t="shared" si="25"/>
        <v>0</v>
      </c>
      <c r="F78" s="15">
        <f t="shared" si="25"/>
        <v>13365.6</v>
      </c>
      <c r="G78" s="15">
        <f t="shared" si="25"/>
        <v>0</v>
      </c>
      <c r="H78" s="15">
        <f t="shared" si="25"/>
        <v>5590.8</v>
      </c>
      <c r="I78" s="15">
        <f t="shared" si="25"/>
        <v>0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</row>
    <row r="79" spans="1:219" x14ac:dyDescent="0.3">
      <c r="A79" s="55"/>
      <c r="B79" s="50"/>
      <c r="C79" s="37">
        <v>2023</v>
      </c>
      <c r="D79" s="15">
        <f t="shared" si="25"/>
        <v>49077.9</v>
      </c>
      <c r="E79" s="15">
        <f t="shared" si="25"/>
        <v>0</v>
      </c>
      <c r="F79" s="15">
        <f t="shared" si="25"/>
        <v>34603.4</v>
      </c>
      <c r="G79" s="15">
        <f t="shared" si="25"/>
        <v>0</v>
      </c>
      <c r="H79" s="15">
        <f t="shared" si="25"/>
        <v>14474.5</v>
      </c>
      <c r="I79" s="15">
        <f t="shared" si="25"/>
        <v>0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</row>
    <row r="80" spans="1:219" ht="32.25" customHeight="1" x14ac:dyDescent="0.3">
      <c r="A80" s="55"/>
      <c r="B80" s="51"/>
      <c r="C80" s="37" t="s">
        <v>16</v>
      </c>
      <c r="D80" s="22">
        <f t="shared" ref="D80:I80" si="26">SUM(D78:D79)</f>
        <v>68034.3</v>
      </c>
      <c r="E80" s="22">
        <f t="shared" si="26"/>
        <v>0</v>
      </c>
      <c r="F80" s="22">
        <f t="shared" si="26"/>
        <v>47969</v>
      </c>
      <c r="G80" s="22">
        <f t="shared" si="26"/>
        <v>0</v>
      </c>
      <c r="H80" s="22">
        <f t="shared" si="26"/>
        <v>20065.3</v>
      </c>
      <c r="I80" s="22">
        <f t="shared" si="26"/>
        <v>0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</row>
    <row r="81" spans="1:219" x14ac:dyDescent="0.3">
      <c r="A81" s="46" t="s">
        <v>19</v>
      </c>
      <c r="B81" s="49"/>
      <c r="C81" s="38">
        <v>2022</v>
      </c>
      <c r="D81" s="14">
        <f>SUM(E81:I81)</f>
        <v>18956.400000000001</v>
      </c>
      <c r="E81" s="14">
        <v>0</v>
      </c>
      <c r="F81" s="14">
        <v>13365.6</v>
      </c>
      <c r="G81" s="14">
        <v>0</v>
      </c>
      <c r="H81" s="14">
        <v>5590.8</v>
      </c>
      <c r="I81" s="14">
        <v>0</v>
      </c>
    </row>
    <row r="82" spans="1:219" x14ac:dyDescent="0.3">
      <c r="A82" s="47"/>
      <c r="B82" s="50"/>
      <c r="C82" s="38">
        <v>2023</v>
      </c>
      <c r="D82" s="14">
        <f>SUM(E82:I82)</f>
        <v>49077.9</v>
      </c>
      <c r="E82" s="14">
        <v>0</v>
      </c>
      <c r="F82" s="14">
        <v>34603.4</v>
      </c>
      <c r="G82" s="14">
        <v>0</v>
      </c>
      <c r="H82" s="14">
        <v>14474.5</v>
      </c>
      <c r="I82" s="14">
        <v>0</v>
      </c>
    </row>
    <row r="83" spans="1:219" x14ac:dyDescent="0.3">
      <c r="A83" s="48"/>
      <c r="B83" s="51"/>
      <c r="C83" s="38" t="s">
        <v>16</v>
      </c>
      <c r="D83" s="14">
        <f t="shared" ref="D83:I83" si="27">SUM(D81:D82)</f>
        <v>68034.3</v>
      </c>
      <c r="E83" s="14">
        <f t="shared" si="27"/>
        <v>0</v>
      </c>
      <c r="F83" s="14">
        <f t="shared" si="27"/>
        <v>47969</v>
      </c>
      <c r="G83" s="14">
        <f t="shared" si="27"/>
        <v>0</v>
      </c>
      <c r="H83" s="14">
        <f t="shared" si="27"/>
        <v>20065.3</v>
      </c>
      <c r="I83" s="14">
        <f t="shared" si="27"/>
        <v>0</v>
      </c>
    </row>
    <row r="84" spans="1:219" x14ac:dyDescent="0.3">
      <c r="A84" s="55" t="s">
        <v>59</v>
      </c>
      <c r="B84" s="49"/>
      <c r="C84" s="37">
        <v>2022</v>
      </c>
      <c r="D84" s="15">
        <f t="shared" ref="D84:I86" si="28">D87</f>
        <v>7300</v>
      </c>
      <c r="E84" s="15">
        <f t="shared" si="28"/>
        <v>0</v>
      </c>
      <c r="F84" s="15">
        <f t="shared" si="28"/>
        <v>6862</v>
      </c>
      <c r="G84" s="15">
        <f t="shared" si="28"/>
        <v>0</v>
      </c>
      <c r="H84" s="15">
        <f t="shared" si="28"/>
        <v>438</v>
      </c>
      <c r="I84" s="15">
        <f t="shared" si="28"/>
        <v>0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</row>
    <row r="85" spans="1:219" x14ac:dyDescent="0.3">
      <c r="A85" s="55"/>
      <c r="B85" s="50"/>
      <c r="C85" s="37">
        <v>2023</v>
      </c>
      <c r="D85" s="15">
        <f t="shared" si="28"/>
        <v>6300</v>
      </c>
      <c r="E85" s="15">
        <f t="shared" si="28"/>
        <v>0</v>
      </c>
      <c r="F85" s="15">
        <f t="shared" si="28"/>
        <v>0</v>
      </c>
      <c r="G85" s="15">
        <f t="shared" si="28"/>
        <v>0</v>
      </c>
      <c r="H85" s="15">
        <f t="shared" si="28"/>
        <v>6300</v>
      </c>
      <c r="I85" s="15">
        <f t="shared" si="28"/>
        <v>0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</row>
    <row r="86" spans="1:219" ht="27.75" customHeight="1" x14ac:dyDescent="0.3">
      <c r="A86" s="55"/>
      <c r="B86" s="51"/>
      <c r="C86" s="37" t="s">
        <v>16</v>
      </c>
      <c r="D86" s="15">
        <f t="shared" si="28"/>
        <v>13600</v>
      </c>
      <c r="E86" s="15">
        <f t="shared" si="28"/>
        <v>0</v>
      </c>
      <c r="F86" s="15">
        <f t="shared" si="28"/>
        <v>6862</v>
      </c>
      <c r="G86" s="15">
        <f t="shared" si="28"/>
        <v>0</v>
      </c>
      <c r="H86" s="15">
        <f t="shared" si="28"/>
        <v>6738</v>
      </c>
      <c r="I86" s="15">
        <f t="shared" si="28"/>
        <v>0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</row>
    <row r="87" spans="1:219" x14ac:dyDescent="0.3">
      <c r="A87" s="46" t="s">
        <v>20</v>
      </c>
      <c r="B87" s="49"/>
      <c r="C87" s="38">
        <v>2022</v>
      </c>
      <c r="D87" s="14">
        <f>SUM(E87:I87)</f>
        <v>7300</v>
      </c>
      <c r="E87" s="14">
        <v>0</v>
      </c>
      <c r="F87" s="14">
        <v>6862</v>
      </c>
      <c r="G87" s="14">
        <v>0</v>
      </c>
      <c r="H87" s="14">
        <v>438</v>
      </c>
      <c r="I87" s="14">
        <v>0</v>
      </c>
    </row>
    <row r="88" spans="1:219" x14ac:dyDescent="0.3">
      <c r="A88" s="47"/>
      <c r="B88" s="50"/>
      <c r="C88" s="38">
        <v>2023</v>
      </c>
      <c r="D88" s="14">
        <f>SUM(E88:I88)</f>
        <v>6300</v>
      </c>
      <c r="E88" s="14">
        <v>0</v>
      </c>
      <c r="F88" s="14">
        <v>0</v>
      </c>
      <c r="G88" s="14">
        <v>0</v>
      </c>
      <c r="H88" s="14">
        <v>6300</v>
      </c>
      <c r="I88" s="14">
        <v>0</v>
      </c>
    </row>
    <row r="89" spans="1:219" x14ac:dyDescent="0.3">
      <c r="A89" s="48"/>
      <c r="B89" s="51"/>
      <c r="C89" s="38" t="s">
        <v>16</v>
      </c>
      <c r="D89" s="14">
        <f t="shared" ref="D89:I89" si="29">SUM(D87:D88)</f>
        <v>13600</v>
      </c>
      <c r="E89" s="14">
        <f t="shared" si="29"/>
        <v>0</v>
      </c>
      <c r="F89" s="14">
        <f t="shared" si="29"/>
        <v>6862</v>
      </c>
      <c r="G89" s="14">
        <f t="shared" si="29"/>
        <v>0</v>
      </c>
      <c r="H89" s="14">
        <f t="shared" si="29"/>
        <v>6738</v>
      </c>
      <c r="I89" s="14">
        <f t="shared" si="29"/>
        <v>0</v>
      </c>
    </row>
    <row r="90" spans="1:219" ht="30" customHeight="1" x14ac:dyDescent="0.3">
      <c r="A90" s="55" t="s">
        <v>60</v>
      </c>
      <c r="B90" s="49"/>
      <c r="C90" s="37">
        <v>2022</v>
      </c>
      <c r="D90" s="15">
        <f t="shared" ref="D90:H91" si="30">D93</f>
        <v>0</v>
      </c>
      <c r="E90" s="15">
        <f t="shared" si="30"/>
        <v>0</v>
      </c>
      <c r="F90" s="15">
        <f t="shared" si="30"/>
        <v>0</v>
      </c>
      <c r="G90" s="15">
        <f t="shared" si="30"/>
        <v>0</v>
      </c>
      <c r="H90" s="15">
        <f t="shared" si="30"/>
        <v>0</v>
      </c>
      <c r="I90" s="15">
        <v>0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</row>
    <row r="91" spans="1:219" ht="27" customHeight="1" x14ac:dyDescent="0.3">
      <c r="A91" s="55"/>
      <c r="B91" s="50"/>
      <c r="C91" s="37">
        <v>2023</v>
      </c>
      <c r="D91" s="15">
        <f t="shared" si="30"/>
        <v>0</v>
      </c>
      <c r="E91" s="15">
        <f t="shared" si="30"/>
        <v>0</v>
      </c>
      <c r="F91" s="15">
        <f t="shared" si="30"/>
        <v>0</v>
      </c>
      <c r="G91" s="15">
        <f t="shared" si="30"/>
        <v>0</v>
      </c>
      <c r="H91" s="15">
        <f t="shared" si="30"/>
        <v>0</v>
      </c>
      <c r="I91" s="15">
        <f>I94</f>
        <v>0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</row>
    <row r="92" spans="1:219" ht="39" customHeight="1" x14ac:dyDescent="0.3">
      <c r="A92" s="55"/>
      <c r="B92" s="51"/>
      <c r="C92" s="37" t="s">
        <v>16</v>
      </c>
      <c r="D92" s="15">
        <f>SUM(D90:D91)</f>
        <v>0</v>
      </c>
      <c r="E92" s="15">
        <f>E95</f>
        <v>0</v>
      </c>
      <c r="F92" s="15">
        <f>F95</f>
        <v>0</v>
      </c>
      <c r="G92" s="15">
        <f>G95</f>
        <v>0</v>
      </c>
      <c r="H92" s="15">
        <f>H95</f>
        <v>0</v>
      </c>
      <c r="I92" s="15">
        <f>I95</f>
        <v>0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</row>
    <row r="93" spans="1:219" x14ac:dyDescent="0.3">
      <c r="A93" s="46" t="s">
        <v>21</v>
      </c>
      <c r="B93" s="49"/>
      <c r="C93" s="38">
        <v>2022</v>
      </c>
      <c r="D93" s="14">
        <f>SUM(E93:I93)</f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</row>
    <row r="94" spans="1:219" x14ac:dyDescent="0.3">
      <c r="A94" s="47"/>
      <c r="B94" s="50"/>
      <c r="C94" s="38">
        <v>2023</v>
      </c>
      <c r="D94" s="14">
        <f>SUM(E94:I94)</f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</row>
    <row r="95" spans="1:219" x14ac:dyDescent="0.3">
      <c r="A95" s="48"/>
      <c r="B95" s="51"/>
      <c r="C95" s="38" t="s">
        <v>16</v>
      </c>
      <c r="D95" s="14">
        <f t="shared" ref="D95:I95" si="31">SUM(D93:D94)</f>
        <v>0</v>
      </c>
      <c r="E95" s="14">
        <f t="shared" si="31"/>
        <v>0</v>
      </c>
      <c r="F95" s="14">
        <f t="shared" si="31"/>
        <v>0</v>
      </c>
      <c r="G95" s="14">
        <f t="shared" si="31"/>
        <v>0</v>
      </c>
      <c r="H95" s="14">
        <f t="shared" si="31"/>
        <v>0</v>
      </c>
      <c r="I95" s="14">
        <f t="shared" si="31"/>
        <v>0</v>
      </c>
    </row>
    <row r="96" spans="1:219" ht="30" customHeight="1" x14ac:dyDescent="0.3">
      <c r="A96" s="55" t="s">
        <v>61</v>
      </c>
      <c r="B96" s="60"/>
      <c r="C96" s="37">
        <v>2022</v>
      </c>
      <c r="D96" s="15">
        <f t="shared" ref="D96:I97" si="32">D99+D102+D105+D108</f>
        <v>28732.1</v>
      </c>
      <c r="E96" s="15">
        <f t="shared" si="32"/>
        <v>0</v>
      </c>
      <c r="F96" s="15">
        <f t="shared" si="32"/>
        <v>19904.5</v>
      </c>
      <c r="G96" s="15">
        <f t="shared" si="32"/>
        <v>0</v>
      </c>
      <c r="H96" s="15">
        <f t="shared" si="32"/>
        <v>8827.6</v>
      </c>
      <c r="I96" s="15">
        <f t="shared" si="32"/>
        <v>0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</row>
    <row r="97" spans="1:219" ht="33.75" customHeight="1" x14ac:dyDescent="0.3">
      <c r="A97" s="55"/>
      <c r="B97" s="61"/>
      <c r="C97" s="37">
        <v>2023</v>
      </c>
      <c r="D97" s="15">
        <f t="shared" si="32"/>
        <v>3189.8</v>
      </c>
      <c r="E97" s="15">
        <f t="shared" si="32"/>
        <v>0</v>
      </c>
      <c r="F97" s="15">
        <f t="shared" si="32"/>
        <v>0</v>
      </c>
      <c r="G97" s="15">
        <f t="shared" si="32"/>
        <v>0</v>
      </c>
      <c r="H97" s="15">
        <f t="shared" si="32"/>
        <v>3189.8</v>
      </c>
      <c r="I97" s="15">
        <f t="shared" si="32"/>
        <v>0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</row>
    <row r="98" spans="1:219" ht="54.75" customHeight="1" x14ac:dyDescent="0.3">
      <c r="A98" s="55"/>
      <c r="B98" s="61"/>
      <c r="C98" s="37" t="s">
        <v>16</v>
      </c>
      <c r="D98" s="15">
        <f t="shared" ref="D98:I98" si="33">SUM(D96:D97)</f>
        <v>31921.899999999998</v>
      </c>
      <c r="E98" s="15">
        <f t="shared" si="33"/>
        <v>0</v>
      </c>
      <c r="F98" s="15">
        <f t="shared" si="33"/>
        <v>19904.5</v>
      </c>
      <c r="G98" s="15">
        <f t="shared" si="33"/>
        <v>0</v>
      </c>
      <c r="H98" s="15">
        <f t="shared" si="33"/>
        <v>12017.400000000001</v>
      </c>
      <c r="I98" s="15">
        <f t="shared" si="33"/>
        <v>0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</row>
    <row r="99" spans="1:219" x14ac:dyDescent="0.3">
      <c r="A99" s="46" t="s">
        <v>22</v>
      </c>
      <c r="B99" s="49"/>
      <c r="C99" s="38">
        <v>2022</v>
      </c>
      <c r="D99" s="14">
        <f>SUM(E99:I99)</f>
        <v>6446.1</v>
      </c>
      <c r="E99" s="14">
        <v>0</v>
      </c>
      <c r="F99" s="14">
        <v>0</v>
      </c>
      <c r="G99" s="14">
        <v>0</v>
      </c>
      <c r="H99" s="14">
        <v>6446.1</v>
      </c>
      <c r="I99" s="14">
        <v>0</v>
      </c>
    </row>
    <row r="100" spans="1:219" x14ac:dyDescent="0.3">
      <c r="A100" s="47"/>
      <c r="B100" s="50"/>
      <c r="C100" s="38">
        <v>2023</v>
      </c>
      <c r="D100" s="14">
        <f>SUM(E100:I100)</f>
        <v>3144.8</v>
      </c>
      <c r="E100" s="14">
        <v>0</v>
      </c>
      <c r="F100" s="14">
        <v>0</v>
      </c>
      <c r="G100" s="14">
        <v>0</v>
      </c>
      <c r="H100" s="14">
        <v>3144.8</v>
      </c>
      <c r="I100" s="14">
        <v>0</v>
      </c>
    </row>
    <row r="101" spans="1:219" x14ac:dyDescent="0.3">
      <c r="A101" s="48"/>
      <c r="B101" s="51"/>
      <c r="C101" s="38" t="s">
        <v>16</v>
      </c>
      <c r="D101" s="14">
        <f t="shared" ref="D101:I101" si="34">SUM(D99:D100)</f>
        <v>9590.9000000000015</v>
      </c>
      <c r="E101" s="14">
        <f t="shared" si="34"/>
        <v>0</v>
      </c>
      <c r="F101" s="14">
        <f t="shared" si="34"/>
        <v>0</v>
      </c>
      <c r="G101" s="14">
        <f t="shared" si="34"/>
        <v>0</v>
      </c>
      <c r="H101" s="14">
        <f t="shared" si="34"/>
        <v>9590.9000000000015</v>
      </c>
      <c r="I101" s="14">
        <f t="shared" si="34"/>
        <v>0</v>
      </c>
    </row>
    <row r="102" spans="1:219" s="6" customFormat="1" x14ac:dyDescent="0.3">
      <c r="A102" s="46" t="s">
        <v>69</v>
      </c>
      <c r="B102" s="49"/>
      <c r="C102" s="38">
        <v>2022</v>
      </c>
      <c r="D102" s="14">
        <f>SUM(E102:I102)</f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</row>
    <row r="103" spans="1:219" s="6" customFormat="1" x14ac:dyDescent="0.3">
      <c r="A103" s="47"/>
      <c r="B103" s="50"/>
      <c r="C103" s="38">
        <v>2023</v>
      </c>
      <c r="D103" s="14">
        <f>SUM(E103:I103)</f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</row>
    <row r="104" spans="1:219" s="6" customFormat="1" x14ac:dyDescent="0.3">
      <c r="A104" s="48"/>
      <c r="B104" s="51"/>
      <c r="C104" s="38" t="s">
        <v>16</v>
      </c>
      <c r="D104" s="14">
        <f t="shared" ref="D104:I104" si="35">SUM(D102:D103)</f>
        <v>0</v>
      </c>
      <c r="E104" s="14">
        <f t="shared" si="35"/>
        <v>0</v>
      </c>
      <c r="F104" s="14">
        <f t="shared" si="35"/>
        <v>0</v>
      </c>
      <c r="G104" s="14">
        <f t="shared" si="35"/>
        <v>0</v>
      </c>
      <c r="H104" s="14">
        <f t="shared" si="35"/>
        <v>0</v>
      </c>
      <c r="I104" s="14">
        <f t="shared" si="35"/>
        <v>0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</row>
    <row r="105" spans="1:219" s="6" customFormat="1" x14ac:dyDescent="0.3">
      <c r="A105" s="46" t="s">
        <v>0</v>
      </c>
      <c r="B105" s="49"/>
      <c r="C105" s="38">
        <v>2022</v>
      </c>
      <c r="D105" s="14">
        <f>SUM(E105:I105)</f>
        <v>650.70000000000005</v>
      </c>
      <c r="E105" s="14">
        <v>0</v>
      </c>
      <c r="F105" s="14">
        <v>0</v>
      </c>
      <c r="G105" s="14">
        <v>0</v>
      </c>
      <c r="H105" s="14">
        <v>650.70000000000005</v>
      </c>
      <c r="I105" s="14">
        <v>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</row>
    <row r="106" spans="1:219" s="6" customFormat="1" x14ac:dyDescent="0.3">
      <c r="A106" s="47"/>
      <c r="B106" s="50"/>
      <c r="C106" s="38">
        <v>2023</v>
      </c>
      <c r="D106" s="14">
        <f>SUM(E106:I106)</f>
        <v>45</v>
      </c>
      <c r="E106" s="14">
        <v>0</v>
      </c>
      <c r="F106" s="14">
        <v>0</v>
      </c>
      <c r="G106" s="14">
        <v>0</v>
      </c>
      <c r="H106" s="14">
        <v>45</v>
      </c>
      <c r="I106" s="14">
        <v>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</row>
    <row r="107" spans="1:219" s="6" customFormat="1" x14ac:dyDescent="0.3">
      <c r="A107" s="48"/>
      <c r="B107" s="51"/>
      <c r="C107" s="38" t="s">
        <v>16</v>
      </c>
      <c r="D107" s="14">
        <f t="shared" ref="D107:I107" si="36">SUM(D105:D106)</f>
        <v>695.7</v>
      </c>
      <c r="E107" s="14">
        <f t="shared" si="36"/>
        <v>0</v>
      </c>
      <c r="F107" s="14">
        <f t="shared" si="36"/>
        <v>0</v>
      </c>
      <c r="G107" s="14">
        <f t="shared" si="36"/>
        <v>0</v>
      </c>
      <c r="H107" s="14">
        <f t="shared" si="36"/>
        <v>695.7</v>
      </c>
      <c r="I107" s="14">
        <f t="shared" si="36"/>
        <v>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</row>
    <row r="108" spans="1:219" s="6" customFormat="1" x14ac:dyDescent="0.3">
      <c r="A108" s="46" t="s">
        <v>23</v>
      </c>
      <c r="B108" s="49"/>
      <c r="C108" s="38">
        <v>2022</v>
      </c>
      <c r="D108" s="14">
        <f>SUM(E108:I108)</f>
        <v>21635.3</v>
      </c>
      <c r="E108" s="14">
        <v>0</v>
      </c>
      <c r="F108" s="14">
        <v>19904.5</v>
      </c>
      <c r="G108" s="14">
        <v>0</v>
      </c>
      <c r="H108" s="14">
        <v>1730.8</v>
      </c>
      <c r="I108" s="14">
        <v>0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</row>
    <row r="109" spans="1:219" s="6" customFormat="1" x14ac:dyDescent="0.3">
      <c r="A109" s="47"/>
      <c r="B109" s="50"/>
      <c r="C109" s="38">
        <v>2023</v>
      </c>
      <c r="D109" s="14">
        <f>SUM(E109:I109)</f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</row>
    <row r="110" spans="1:219" s="6" customFormat="1" x14ac:dyDescent="0.3">
      <c r="A110" s="48"/>
      <c r="B110" s="51"/>
      <c r="C110" s="38" t="s">
        <v>16</v>
      </c>
      <c r="D110" s="14">
        <f t="shared" ref="D110:I110" si="37">SUM(D108:D109)</f>
        <v>21635.3</v>
      </c>
      <c r="E110" s="14">
        <f t="shared" si="37"/>
        <v>0</v>
      </c>
      <c r="F110" s="14">
        <f t="shared" si="37"/>
        <v>19904.5</v>
      </c>
      <c r="G110" s="14">
        <f t="shared" si="37"/>
        <v>0</v>
      </c>
      <c r="H110" s="14">
        <f t="shared" si="37"/>
        <v>1730.8</v>
      </c>
      <c r="I110" s="14">
        <f t="shared" si="37"/>
        <v>0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</row>
    <row r="111" spans="1:219" s="6" customFormat="1" x14ac:dyDescent="0.3">
      <c r="A111" s="55" t="s">
        <v>62</v>
      </c>
      <c r="B111" s="49"/>
      <c r="C111" s="37">
        <v>2022</v>
      </c>
      <c r="D111" s="15">
        <f t="shared" ref="D111:H112" si="38">D114</f>
        <v>0</v>
      </c>
      <c r="E111" s="15">
        <f t="shared" si="38"/>
        <v>0</v>
      </c>
      <c r="F111" s="15">
        <f t="shared" si="38"/>
        <v>0</v>
      </c>
      <c r="G111" s="15">
        <f t="shared" si="38"/>
        <v>0</v>
      </c>
      <c r="H111" s="15">
        <f t="shared" si="38"/>
        <v>0</v>
      </c>
      <c r="I111" s="15">
        <v>0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</row>
    <row r="112" spans="1:219" s="6" customFormat="1" x14ac:dyDescent="0.3">
      <c r="A112" s="55"/>
      <c r="B112" s="50"/>
      <c r="C112" s="37">
        <v>2023</v>
      </c>
      <c r="D112" s="15">
        <f t="shared" si="38"/>
        <v>7191.3</v>
      </c>
      <c r="E112" s="15">
        <f t="shared" si="38"/>
        <v>0</v>
      </c>
      <c r="F112" s="15">
        <f t="shared" si="38"/>
        <v>0</v>
      </c>
      <c r="G112" s="15">
        <f t="shared" si="38"/>
        <v>0</v>
      </c>
      <c r="H112" s="15">
        <f t="shared" si="38"/>
        <v>7191.3</v>
      </c>
      <c r="I112" s="15">
        <f>I115</f>
        <v>0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</row>
    <row r="113" spans="1:219" s="6" customFormat="1" x14ac:dyDescent="0.3">
      <c r="A113" s="55"/>
      <c r="B113" s="51"/>
      <c r="C113" s="37" t="s">
        <v>16</v>
      </c>
      <c r="D113" s="15">
        <f t="shared" ref="D113:I113" si="39">SUM(D111:D112)</f>
        <v>7191.3</v>
      </c>
      <c r="E113" s="15">
        <f t="shared" si="39"/>
        <v>0</v>
      </c>
      <c r="F113" s="15">
        <f t="shared" si="39"/>
        <v>0</v>
      </c>
      <c r="G113" s="15">
        <f t="shared" si="39"/>
        <v>0</v>
      </c>
      <c r="H113" s="15">
        <f t="shared" si="39"/>
        <v>7191.3</v>
      </c>
      <c r="I113" s="15">
        <f t="shared" si="39"/>
        <v>0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</row>
    <row r="114" spans="1:219" s="6" customFormat="1" x14ac:dyDescent="0.3">
      <c r="A114" s="46" t="s">
        <v>24</v>
      </c>
      <c r="B114" s="49"/>
      <c r="C114" s="38">
        <v>2022</v>
      </c>
      <c r="D114" s="14">
        <f>SUM(E114:I114)</f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</row>
    <row r="115" spans="1:219" s="6" customFormat="1" ht="20.25" customHeight="1" x14ac:dyDescent="0.3">
      <c r="A115" s="47"/>
      <c r="B115" s="50"/>
      <c r="C115" s="38">
        <v>2023</v>
      </c>
      <c r="D115" s="14">
        <f>SUM(E115:I115)</f>
        <v>7191.3</v>
      </c>
      <c r="E115" s="14">
        <v>0</v>
      </c>
      <c r="F115" s="14">
        <v>0</v>
      </c>
      <c r="G115" s="14">
        <v>0</v>
      </c>
      <c r="H115" s="14">
        <v>7191.3</v>
      </c>
      <c r="I115" s="14">
        <v>0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</row>
    <row r="116" spans="1:219" s="6" customFormat="1" ht="18" customHeight="1" x14ac:dyDescent="0.3">
      <c r="A116" s="48"/>
      <c r="B116" s="51"/>
      <c r="C116" s="38" t="s">
        <v>16</v>
      </c>
      <c r="D116" s="14">
        <f t="shared" ref="D116:I116" si="40">SUM(D114:D115)</f>
        <v>7191.3</v>
      </c>
      <c r="E116" s="14">
        <f t="shared" si="40"/>
        <v>0</v>
      </c>
      <c r="F116" s="14">
        <f t="shared" si="40"/>
        <v>0</v>
      </c>
      <c r="G116" s="14">
        <f t="shared" si="40"/>
        <v>0</v>
      </c>
      <c r="H116" s="14">
        <f t="shared" si="40"/>
        <v>7191.3</v>
      </c>
      <c r="I116" s="14">
        <f t="shared" si="40"/>
        <v>0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</row>
    <row r="117" spans="1:219" s="6" customFormat="1" ht="18" customHeight="1" x14ac:dyDescent="0.3">
      <c r="A117" s="55" t="s">
        <v>63</v>
      </c>
      <c r="B117" s="49"/>
      <c r="C117" s="37">
        <v>2022</v>
      </c>
      <c r="D117" s="15">
        <f t="shared" ref="D117:H118" si="41">D120</f>
        <v>0</v>
      </c>
      <c r="E117" s="15">
        <f t="shared" si="41"/>
        <v>0</v>
      </c>
      <c r="F117" s="15">
        <f t="shared" si="41"/>
        <v>0</v>
      </c>
      <c r="G117" s="15">
        <f t="shared" si="41"/>
        <v>0</v>
      </c>
      <c r="H117" s="15">
        <f t="shared" si="41"/>
        <v>0</v>
      </c>
      <c r="I117" s="15">
        <v>0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</row>
    <row r="118" spans="1:219" s="6" customFormat="1" ht="18" customHeight="1" x14ac:dyDescent="0.3">
      <c r="A118" s="55"/>
      <c r="B118" s="50"/>
      <c r="C118" s="37">
        <v>2023</v>
      </c>
      <c r="D118" s="15">
        <f t="shared" si="41"/>
        <v>0</v>
      </c>
      <c r="E118" s="15">
        <f t="shared" si="41"/>
        <v>0</v>
      </c>
      <c r="F118" s="15">
        <f t="shared" si="41"/>
        <v>0</v>
      </c>
      <c r="G118" s="15">
        <f t="shared" si="41"/>
        <v>0</v>
      </c>
      <c r="H118" s="15">
        <f t="shared" si="41"/>
        <v>0</v>
      </c>
      <c r="I118" s="15">
        <f>I121</f>
        <v>0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</row>
    <row r="119" spans="1:219" s="6" customFormat="1" ht="45" customHeight="1" x14ac:dyDescent="0.3">
      <c r="A119" s="55"/>
      <c r="B119" s="51"/>
      <c r="C119" s="37" t="s">
        <v>16</v>
      </c>
      <c r="D119" s="15">
        <f t="shared" ref="D119:I119" si="42">SUM(D117:D118)</f>
        <v>0</v>
      </c>
      <c r="E119" s="15">
        <f t="shared" si="42"/>
        <v>0</v>
      </c>
      <c r="F119" s="15">
        <f t="shared" si="42"/>
        <v>0</v>
      </c>
      <c r="G119" s="15">
        <f t="shared" si="42"/>
        <v>0</v>
      </c>
      <c r="H119" s="15">
        <f t="shared" si="42"/>
        <v>0</v>
      </c>
      <c r="I119" s="15">
        <f t="shared" si="42"/>
        <v>0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</row>
    <row r="120" spans="1:219" s="6" customFormat="1" ht="18" customHeight="1" x14ac:dyDescent="0.3">
      <c r="A120" s="46" t="s">
        <v>25</v>
      </c>
      <c r="B120" s="49"/>
      <c r="C120" s="38">
        <v>2022</v>
      </c>
      <c r="D120" s="14">
        <f>SUM(E120:I120)</f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</row>
    <row r="121" spans="1:219" s="6" customFormat="1" ht="24" customHeight="1" x14ac:dyDescent="0.3">
      <c r="A121" s="47"/>
      <c r="B121" s="50"/>
      <c r="C121" s="38">
        <v>2023</v>
      </c>
      <c r="D121" s="14">
        <f>SUM(E121:I121)</f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</row>
    <row r="122" spans="1:219" s="6" customFormat="1" ht="33" customHeight="1" x14ac:dyDescent="0.3">
      <c r="A122" s="48"/>
      <c r="B122" s="51"/>
      <c r="C122" s="38" t="s">
        <v>16</v>
      </c>
      <c r="D122" s="14">
        <f t="shared" ref="D122:I122" si="43">SUM(D120:D121)</f>
        <v>0</v>
      </c>
      <c r="E122" s="14">
        <f t="shared" si="43"/>
        <v>0</v>
      </c>
      <c r="F122" s="14">
        <f t="shared" si="43"/>
        <v>0</v>
      </c>
      <c r="G122" s="14">
        <f t="shared" si="43"/>
        <v>0</v>
      </c>
      <c r="H122" s="14">
        <f t="shared" si="43"/>
        <v>0</v>
      </c>
      <c r="I122" s="14">
        <f t="shared" si="43"/>
        <v>0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</row>
    <row r="123" spans="1:219" s="6" customFormat="1" ht="18" customHeight="1" x14ac:dyDescent="0.3">
      <c r="A123" s="55" t="s">
        <v>64</v>
      </c>
      <c r="B123" s="57"/>
      <c r="C123" s="37">
        <v>2024</v>
      </c>
      <c r="D123" s="22">
        <f>D129</f>
        <v>3000</v>
      </c>
      <c r="E123" s="22">
        <f t="shared" ref="E123:I125" si="44">E129</f>
        <v>0</v>
      </c>
      <c r="F123" s="22">
        <f t="shared" si="44"/>
        <v>0</v>
      </c>
      <c r="G123" s="22">
        <f t="shared" si="44"/>
        <v>0</v>
      </c>
      <c r="H123" s="22">
        <f t="shared" si="44"/>
        <v>3000</v>
      </c>
      <c r="I123" s="22">
        <f t="shared" si="44"/>
        <v>0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</row>
    <row r="124" spans="1:219" s="6" customFormat="1" ht="18" customHeight="1" x14ac:dyDescent="0.3">
      <c r="A124" s="55"/>
      <c r="B124" s="58"/>
      <c r="C124" s="37">
        <v>2025</v>
      </c>
      <c r="D124" s="22">
        <f>D130</f>
        <v>6575.9</v>
      </c>
      <c r="E124" s="22">
        <f t="shared" si="44"/>
        <v>0</v>
      </c>
      <c r="F124" s="22">
        <f t="shared" si="44"/>
        <v>0</v>
      </c>
      <c r="G124" s="22">
        <f t="shared" si="44"/>
        <v>0</v>
      </c>
      <c r="H124" s="22">
        <f>H130</f>
        <v>6575.9</v>
      </c>
      <c r="I124" s="22">
        <f>I130</f>
        <v>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</row>
    <row r="125" spans="1:219" s="6" customFormat="1" ht="18" customHeight="1" x14ac:dyDescent="0.3">
      <c r="A125" s="55"/>
      <c r="B125" s="58"/>
      <c r="C125" s="37">
        <v>2026</v>
      </c>
      <c r="D125" s="22">
        <f>D131</f>
        <v>9526</v>
      </c>
      <c r="E125" s="22">
        <f t="shared" si="44"/>
        <v>0</v>
      </c>
      <c r="F125" s="22">
        <f t="shared" si="44"/>
        <v>0</v>
      </c>
      <c r="G125" s="22">
        <f t="shared" si="44"/>
        <v>0</v>
      </c>
      <c r="H125" s="22">
        <f t="shared" si="44"/>
        <v>9526</v>
      </c>
      <c r="I125" s="22">
        <f t="shared" si="44"/>
        <v>0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</row>
    <row r="126" spans="1:219" s="6" customFormat="1" ht="18" customHeight="1" x14ac:dyDescent="0.3">
      <c r="A126" s="55"/>
      <c r="B126" s="58"/>
      <c r="C126" s="37">
        <v>2027</v>
      </c>
      <c r="D126" s="22">
        <f>SUM(E126:I126)</f>
        <v>35346.800000000003</v>
      </c>
      <c r="E126" s="22">
        <f t="shared" ref="E126:I126" si="45">E132+E139</f>
        <v>0</v>
      </c>
      <c r="F126" s="22">
        <f t="shared" si="45"/>
        <v>0</v>
      </c>
      <c r="G126" s="22">
        <f t="shared" si="45"/>
        <v>0</v>
      </c>
      <c r="H126" s="22">
        <f t="shared" si="45"/>
        <v>35346.800000000003</v>
      </c>
      <c r="I126" s="22">
        <f t="shared" si="45"/>
        <v>0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</row>
    <row r="127" spans="1:219" s="6" customFormat="1" ht="18" customHeight="1" x14ac:dyDescent="0.3">
      <c r="A127" s="55"/>
      <c r="B127" s="58"/>
      <c r="C127" s="37">
        <v>2028</v>
      </c>
      <c r="D127" s="22">
        <f>SUM(E127:I127)</f>
        <v>21328</v>
      </c>
      <c r="E127" s="22">
        <f t="shared" ref="E127:H127" si="46">E140</f>
        <v>0</v>
      </c>
      <c r="F127" s="22">
        <f t="shared" si="46"/>
        <v>0</v>
      </c>
      <c r="G127" s="22">
        <f t="shared" si="46"/>
        <v>0</v>
      </c>
      <c r="H127" s="22">
        <f t="shared" si="46"/>
        <v>21328</v>
      </c>
      <c r="I127" s="22">
        <f>I140</f>
        <v>0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</row>
    <row r="128" spans="1:219" s="6" customFormat="1" ht="18" customHeight="1" x14ac:dyDescent="0.3">
      <c r="A128" s="55"/>
      <c r="B128" s="59"/>
      <c r="C128" s="37" t="s">
        <v>16</v>
      </c>
      <c r="D128" s="15">
        <f>SUM(D123:D127)</f>
        <v>75776.700000000012</v>
      </c>
      <c r="E128" s="15">
        <f t="shared" ref="E128:H128" si="47">SUM(E123:E127)</f>
        <v>0</v>
      </c>
      <c r="F128" s="15">
        <f t="shared" si="47"/>
        <v>0</v>
      </c>
      <c r="G128" s="15">
        <f t="shared" si="47"/>
        <v>0</v>
      </c>
      <c r="H128" s="15">
        <f t="shared" si="47"/>
        <v>75776.700000000012</v>
      </c>
      <c r="I128" s="15">
        <f>SUM(I123:I127)</f>
        <v>0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</row>
    <row r="129" spans="1:219" s="6" customFormat="1" ht="23.45" customHeight="1" x14ac:dyDescent="0.3">
      <c r="A129" s="55" t="s">
        <v>80</v>
      </c>
      <c r="B129" s="49"/>
      <c r="C129" s="37">
        <v>2024</v>
      </c>
      <c r="D129" s="15">
        <f t="shared" ref="D129:H132" si="48">D134</f>
        <v>3000</v>
      </c>
      <c r="E129" s="15">
        <f t="shared" si="48"/>
        <v>0</v>
      </c>
      <c r="F129" s="15">
        <f t="shared" si="48"/>
        <v>0</v>
      </c>
      <c r="G129" s="15">
        <f t="shared" si="48"/>
        <v>0</v>
      </c>
      <c r="H129" s="15">
        <f t="shared" si="48"/>
        <v>3000</v>
      </c>
      <c r="I129" s="15">
        <f>I134</f>
        <v>0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</row>
    <row r="130" spans="1:219" s="6" customFormat="1" ht="23.45" customHeight="1" x14ac:dyDescent="0.3">
      <c r="A130" s="55"/>
      <c r="B130" s="50"/>
      <c r="C130" s="37">
        <v>2025</v>
      </c>
      <c r="D130" s="15">
        <f t="shared" si="48"/>
        <v>6575.9</v>
      </c>
      <c r="E130" s="15">
        <f t="shared" si="48"/>
        <v>0</v>
      </c>
      <c r="F130" s="15">
        <f t="shared" si="48"/>
        <v>0</v>
      </c>
      <c r="G130" s="15">
        <f t="shared" si="48"/>
        <v>0</v>
      </c>
      <c r="H130" s="15">
        <f t="shared" si="48"/>
        <v>6575.9</v>
      </c>
      <c r="I130" s="15">
        <f>I135</f>
        <v>0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</row>
    <row r="131" spans="1:219" s="6" customFormat="1" ht="23.45" customHeight="1" x14ac:dyDescent="0.3">
      <c r="A131" s="55"/>
      <c r="B131" s="50"/>
      <c r="C131" s="37">
        <v>2026</v>
      </c>
      <c r="D131" s="15">
        <f t="shared" si="48"/>
        <v>9526</v>
      </c>
      <c r="E131" s="15">
        <f t="shared" si="48"/>
        <v>0</v>
      </c>
      <c r="F131" s="15">
        <f t="shared" si="48"/>
        <v>0</v>
      </c>
      <c r="G131" s="15">
        <f t="shared" si="48"/>
        <v>0</v>
      </c>
      <c r="H131" s="15">
        <f t="shared" si="48"/>
        <v>9526</v>
      </c>
      <c r="I131" s="15">
        <f>I136</f>
        <v>0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</row>
    <row r="132" spans="1:219" s="6" customFormat="1" ht="23.45" customHeight="1" x14ac:dyDescent="0.3">
      <c r="A132" s="55"/>
      <c r="B132" s="50"/>
      <c r="C132" s="37">
        <v>2027</v>
      </c>
      <c r="D132" s="15">
        <f t="shared" si="48"/>
        <v>14018.8</v>
      </c>
      <c r="E132" s="15">
        <f t="shared" si="48"/>
        <v>0</v>
      </c>
      <c r="F132" s="15">
        <f t="shared" si="48"/>
        <v>0</v>
      </c>
      <c r="G132" s="15">
        <f t="shared" si="48"/>
        <v>0</v>
      </c>
      <c r="H132" s="15">
        <f t="shared" si="48"/>
        <v>14018.8</v>
      </c>
      <c r="I132" s="15">
        <f>I137</f>
        <v>0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</row>
    <row r="133" spans="1:219" s="6" customFormat="1" ht="52.5" customHeight="1" x14ac:dyDescent="0.3">
      <c r="A133" s="55"/>
      <c r="B133" s="51"/>
      <c r="C133" s="37" t="s">
        <v>16</v>
      </c>
      <c r="D133" s="15">
        <f>SUM(D129:D132)</f>
        <v>33120.699999999997</v>
      </c>
      <c r="E133" s="15">
        <f t="shared" ref="E133:I133" si="49">SUM(E129:E132)</f>
        <v>0</v>
      </c>
      <c r="F133" s="15">
        <f t="shared" si="49"/>
        <v>0</v>
      </c>
      <c r="G133" s="15">
        <f t="shared" si="49"/>
        <v>0</v>
      </c>
      <c r="H133" s="15">
        <f t="shared" si="49"/>
        <v>33120.699999999997</v>
      </c>
      <c r="I133" s="15">
        <f t="shared" si="49"/>
        <v>0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</row>
    <row r="134" spans="1:219" s="6" customFormat="1" ht="18" customHeight="1" x14ac:dyDescent="0.3">
      <c r="A134" s="46" t="s">
        <v>0</v>
      </c>
      <c r="B134" s="49"/>
      <c r="C134" s="38">
        <v>2024</v>
      </c>
      <c r="D134" s="14">
        <f>SUM(E134:I134)</f>
        <v>3000</v>
      </c>
      <c r="E134" s="14">
        <v>0</v>
      </c>
      <c r="F134" s="14">
        <v>0</v>
      </c>
      <c r="G134" s="14">
        <v>0</v>
      </c>
      <c r="H134" s="14">
        <v>3000</v>
      </c>
      <c r="I134" s="14">
        <v>0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</row>
    <row r="135" spans="1:219" s="6" customFormat="1" ht="18" customHeight="1" x14ac:dyDescent="0.3">
      <c r="A135" s="47"/>
      <c r="B135" s="50"/>
      <c r="C135" s="38">
        <v>2025</v>
      </c>
      <c r="D135" s="14">
        <f>SUM(E135:I135)</f>
        <v>6575.9</v>
      </c>
      <c r="E135" s="14">
        <v>0</v>
      </c>
      <c r="F135" s="14">
        <v>0</v>
      </c>
      <c r="G135" s="14">
        <v>0</v>
      </c>
      <c r="H135" s="14">
        <v>6575.9</v>
      </c>
      <c r="I135" s="14">
        <v>0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</row>
    <row r="136" spans="1:219" s="6" customFormat="1" ht="18" customHeight="1" x14ac:dyDescent="0.3">
      <c r="A136" s="47"/>
      <c r="B136" s="50"/>
      <c r="C136" s="38">
        <v>2026</v>
      </c>
      <c r="D136" s="14">
        <f>SUM(E136:I136)</f>
        <v>9526</v>
      </c>
      <c r="E136" s="14">
        <v>0</v>
      </c>
      <c r="F136" s="14">
        <v>0</v>
      </c>
      <c r="G136" s="14">
        <v>0</v>
      </c>
      <c r="H136" s="14">
        <f>6907.5+3072.5+6532-2947.2-4038.8</f>
        <v>9526</v>
      </c>
      <c r="I136" s="14">
        <v>0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</row>
    <row r="137" spans="1:219" s="6" customFormat="1" ht="18" customHeight="1" x14ac:dyDescent="0.3">
      <c r="A137" s="47"/>
      <c r="B137" s="50"/>
      <c r="C137" s="38">
        <v>2027</v>
      </c>
      <c r="D137" s="14">
        <f>SUM(E137:I137)</f>
        <v>14018.8</v>
      </c>
      <c r="E137" s="14">
        <v>0</v>
      </c>
      <c r="F137" s="14">
        <v>0</v>
      </c>
      <c r="G137" s="14">
        <v>0</v>
      </c>
      <c r="H137" s="14">
        <f>9980+4038.8</f>
        <v>14018.8</v>
      </c>
      <c r="I137" s="14">
        <v>0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</row>
    <row r="138" spans="1:219" s="6" customFormat="1" ht="18" customHeight="1" x14ac:dyDescent="0.3">
      <c r="A138" s="48"/>
      <c r="B138" s="51"/>
      <c r="C138" s="38" t="s">
        <v>16</v>
      </c>
      <c r="D138" s="14">
        <f>SUM(D134:D137)</f>
        <v>33120.699999999997</v>
      </c>
      <c r="E138" s="14">
        <f t="shared" ref="E138:I138" si="50">SUM(E134:E137)</f>
        <v>0</v>
      </c>
      <c r="F138" s="14">
        <f t="shared" si="50"/>
        <v>0</v>
      </c>
      <c r="G138" s="14">
        <f t="shared" si="50"/>
        <v>0</v>
      </c>
      <c r="H138" s="14">
        <f t="shared" si="50"/>
        <v>33120.699999999997</v>
      </c>
      <c r="I138" s="14">
        <f t="shared" si="50"/>
        <v>0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</row>
    <row r="139" spans="1:219" s="6" customFormat="1" ht="25.5" customHeight="1" x14ac:dyDescent="0.3">
      <c r="A139" s="52" t="s">
        <v>95</v>
      </c>
      <c r="B139" s="49"/>
      <c r="C139" s="37">
        <v>2027</v>
      </c>
      <c r="D139" s="15">
        <f t="shared" ref="D139:H140" si="51">D142</f>
        <v>21328</v>
      </c>
      <c r="E139" s="15">
        <f t="shared" si="51"/>
        <v>0</v>
      </c>
      <c r="F139" s="15">
        <f t="shared" si="51"/>
        <v>0</v>
      </c>
      <c r="G139" s="15">
        <f t="shared" si="51"/>
        <v>0</v>
      </c>
      <c r="H139" s="15">
        <f t="shared" si="51"/>
        <v>21328</v>
      </c>
      <c r="I139" s="15">
        <f>I142</f>
        <v>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</row>
    <row r="140" spans="1:219" s="6" customFormat="1" ht="25.5" customHeight="1" x14ac:dyDescent="0.3">
      <c r="A140" s="53"/>
      <c r="B140" s="50"/>
      <c r="C140" s="37">
        <v>2028</v>
      </c>
      <c r="D140" s="15">
        <f>SUM(E140:I140)</f>
        <v>21328</v>
      </c>
      <c r="E140" s="15">
        <f t="shared" si="51"/>
        <v>0</v>
      </c>
      <c r="F140" s="15">
        <f t="shared" si="51"/>
        <v>0</v>
      </c>
      <c r="G140" s="15">
        <f t="shared" si="51"/>
        <v>0</v>
      </c>
      <c r="H140" s="15">
        <f t="shared" si="51"/>
        <v>21328</v>
      </c>
      <c r="I140" s="15">
        <f>I143</f>
        <v>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</row>
    <row r="141" spans="1:219" s="6" customFormat="1" ht="27" customHeight="1" x14ac:dyDescent="0.3">
      <c r="A141" s="54"/>
      <c r="B141" s="51"/>
      <c r="C141" s="37" t="s">
        <v>16</v>
      </c>
      <c r="D141" s="15">
        <f>SUM(D139:D140)</f>
        <v>42656</v>
      </c>
      <c r="E141" s="15">
        <f t="shared" ref="E141:H141" si="52">SUM(E139:E140)</f>
        <v>0</v>
      </c>
      <c r="F141" s="15">
        <f t="shared" si="52"/>
        <v>0</v>
      </c>
      <c r="G141" s="15">
        <f t="shared" si="52"/>
        <v>0</v>
      </c>
      <c r="H141" s="15">
        <f t="shared" si="52"/>
        <v>42656</v>
      </c>
      <c r="I141" s="15">
        <f>SUM(I139:I140)</f>
        <v>0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</row>
    <row r="142" spans="1:219" s="6" customFormat="1" ht="18" customHeight="1" x14ac:dyDescent="0.3">
      <c r="A142" s="46" t="s">
        <v>33</v>
      </c>
      <c r="B142" s="49"/>
      <c r="C142" s="38">
        <v>2027</v>
      </c>
      <c r="D142" s="14">
        <f>SUM(E142:I142)</f>
        <v>21328</v>
      </c>
      <c r="E142" s="14">
        <v>0</v>
      </c>
      <c r="F142" s="14">
        <v>0</v>
      </c>
      <c r="G142" s="14">
        <v>0</v>
      </c>
      <c r="H142" s="14">
        <v>21328</v>
      </c>
      <c r="I142" s="14">
        <v>0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</row>
    <row r="143" spans="1:219" s="6" customFormat="1" ht="18" customHeight="1" x14ac:dyDescent="0.3">
      <c r="A143" s="47"/>
      <c r="B143" s="50"/>
      <c r="C143" s="38">
        <v>2028</v>
      </c>
      <c r="D143" s="14">
        <f>SUM(E143:I143)</f>
        <v>21328</v>
      </c>
      <c r="E143" s="14">
        <v>0</v>
      </c>
      <c r="F143" s="14">
        <v>0</v>
      </c>
      <c r="G143" s="14">
        <v>0</v>
      </c>
      <c r="H143" s="14">
        <v>21328</v>
      </c>
      <c r="I143" s="14">
        <v>0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</row>
    <row r="144" spans="1:219" s="6" customFormat="1" ht="24.75" customHeight="1" x14ac:dyDescent="0.3">
      <c r="A144" s="48"/>
      <c r="B144" s="51"/>
      <c r="C144" s="38" t="s">
        <v>16</v>
      </c>
      <c r="D144" s="14">
        <f>SUM(D142:D143)</f>
        <v>42656</v>
      </c>
      <c r="E144" s="14">
        <f t="shared" ref="E144:H144" si="53">SUM(E142:E143)</f>
        <v>0</v>
      </c>
      <c r="F144" s="14">
        <f t="shared" si="53"/>
        <v>0</v>
      </c>
      <c r="G144" s="14">
        <f t="shared" si="53"/>
        <v>0</v>
      </c>
      <c r="H144" s="14">
        <f t="shared" si="53"/>
        <v>42656</v>
      </c>
      <c r="I144" s="14">
        <f>SUM(I142:I143)</f>
        <v>0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</row>
    <row r="145" spans="1:219" s="6" customFormat="1" ht="18" customHeight="1" x14ac:dyDescent="0.3">
      <c r="A145" s="52" t="s">
        <v>56</v>
      </c>
      <c r="B145" s="57"/>
      <c r="C145" s="37">
        <v>2024</v>
      </c>
      <c r="D145" s="22">
        <f t="shared" ref="D145:I145" si="54">D149+D158+D164+D172</f>
        <v>53744.4</v>
      </c>
      <c r="E145" s="22">
        <f t="shared" si="54"/>
        <v>729.8</v>
      </c>
      <c r="F145" s="22">
        <f t="shared" si="54"/>
        <v>41661.199999999997</v>
      </c>
      <c r="G145" s="22">
        <f t="shared" si="54"/>
        <v>9953.9</v>
      </c>
      <c r="H145" s="22">
        <f t="shared" si="54"/>
        <v>1399.5</v>
      </c>
      <c r="I145" s="22">
        <f t="shared" si="54"/>
        <v>0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</row>
    <row r="146" spans="1:219" s="6" customFormat="1" ht="18" customHeight="1" x14ac:dyDescent="0.3">
      <c r="A146" s="53"/>
      <c r="B146" s="58"/>
      <c r="C146" s="37">
        <v>2025</v>
      </c>
      <c r="D146" s="22">
        <f>SUM(E146:I146)</f>
        <v>15112.099999999999</v>
      </c>
      <c r="E146" s="22">
        <f>E150+E165</f>
        <v>249.5</v>
      </c>
      <c r="F146" s="22">
        <f>F150+F165</f>
        <v>13681.8</v>
      </c>
      <c r="G146" s="22">
        <f>G150+G165</f>
        <v>381.4</v>
      </c>
      <c r="H146" s="22">
        <f>H150+H165</f>
        <v>799.4</v>
      </c>
      <c r="I146" s="22">
        <f>I150+I165</f>
        <v>0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</row>
    <row r="147" spans="1:219" s="6" customFormat="1" ht="18" customHeight="1" x14ac:dyDescent="0.3">
      <c r="A147" s="53"/>
      <c r="B147" s="58"/>
      <c r="C147" s="37">
        <v>2026</v>
      </c>
      <c r="D147" s="22">
        <f t="shared" ref="D147:H147" si="55">D159+D166</f>
        <v>135167.70000000001</v>
      </c>
      <c r="E147" s="22">
        <f t="shared" si="55"/>
        <v>1465.8</v>
      </c>
      <c r="F147" s="22">
        <f t="shared" si="55"/>
        <v>40379.4</v>
      </c>
      <c r="G147" s="22">
        <f t="shared" si="55"/>
        <v>92151</v>
      </c>
      <c r="H147" s="22">
        <f t="shared" si="55"/>
        <v>1171.5</v>
      </c>
      <c r="I147" s="22">
        <f>I159+I166</f>
        <v>0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</row>
    <row r="148" spans="1:219" s="6" customFormat="1" ht="18" customHeight="1" x14ac:dyDescent="0.3">
      <c r="A148" s="54"/>
      <c r="B148" s="59"/>
      <c r="C148" s="37" t="s">
        <v>16</v>
      </c>
      <c r="D148" s="15">
        <f t="shared" ref="D148:I148" si="56">SUM(D145:D147)</f>
        <v>204024.2</v>
      </c>
      <c r="E148" s="15">
        <f t="shared" si="56"/>
        <v>2445.1</v>
      </c>
      <c r="F148" s="15">
        <f t="shared" si="56"/>
        <v>95722.4</v>
      </c>
      <c r="G148" s="15">
        <f t="shared" si="56"/>
        <v>102486.3</v>
      </c>
      <c r="H148" s="15">
        <f t="shared" si="56"/>
        <v>3370.4</v>
      </c>
      <c r="I148" s="15">
        <f t="shared" si="56"/>
        <v>0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</row>
    <row r="149" spans="1:219" s="6" customFormat="1" ht="18" customHeight="1" x14ac:dyDescent="0.3">
      <c r="A149" s="52" t="s">
        <v>26</v>
      </c>
      <c r="B149" s="49"/>
      <c r="C149" s="37">
        <v>2024</v>
      </c>
      <c r="D149" s="15">
        <f t="shared" ref="D149:I150" si="57">D152+D155</f>
        <v>4904.1000000000004</v>
      </c>
      <c r="E149" s="15">
        <f t="shared" si="57"/>
        <v>0</v>
      </c>
      <c r="F149" s="15">
        <f t="shared" si="57"/>
        <v>4560.8</v>
      </c>
      <c r="G149" s="15">
        <f t="shared" si="57"/>
        <v>0</v>
      </c>
      <c r="H149" s="15">
        <f t="shared" si="57"/>
        <v>343.3</v>
      </c>
      <c r="I149" s="15">
        <f t="shared" si="57"/>
        <v>0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</row>
    <row r="150" spans="1:219" s="6" customFormat="1" ht="18" customHeight="1" x14ac:dyDescent="0.3">
      <c r="A150" s="53"/>
      <c r="B150" s="50"/>
      <c r="C150" s="37">
        <v>2025</v>
      </c>
      <c r="D150" s="15">
        <f t="shared" si="57"/>
        <v>12330.4</v>
      </c>
      <c r="E150" s="15">
        <f t="shared" si="57"/>
        <v>0</v>
      </c>
      <c r="F150" s="15">
        <f t="shared" si="57"/>
        <v>11949</v>
      </c>
      <c r="G150" s="15">
        <f t="shared" si="57"/>
        <v>381.4</v>
      </c>
      <c r="H150" s="15">
        <f t="shared" si="57"/>
        <v>0</v>
      </c>
      <c r="I150" s="15">
        <f t="shared" si="57"/>
        <v>0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</row>
    <row r="151" spans="1:219" s="6" customFormat="1" ht="27.75" customHeight="1" x14ac:dyDescent="0.3">
      <c r="A151" s="54"/>
      <c r="B151" s="51"/>
      <c r="C151" s="37" t="s">
        <v>16</v>
      </c>
      <c r="D151" s="15">
        <f t="shared" ref="D151:I151" si="58">SUM(D149:D150)</f>
        <v>17234.5</v>
      </c>
      <c r="E151" s="15">
        <f t="shared" si="58"/>
        <v>0</v>
      </c>
      <c r="F151" s="15">
        <f t="shared" si="58"/>
        <v>16509.8</v>
      </c>
      <c r="G151" s="15">
        <f t="shared" si="58"/>
        <v>381.4</v>
      </c>
      <c r="H151" s="15">
        <f t="shared" si="58"/>
        <v>343.3</v>
      </c>
      <c r="I151" s="15">
        <f t="shared" si="58"/>
        <v>0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</row>
    <row r="152" spans="1:219" s="6" customFormat="1" ht="18" customHeight="1" x14ac:dyDescent="0.3">
      <c r="A152" s="46" t="s">
        <v>21</v>
      </c>
      <c r="B152" s="49"/>
      <c r="C152" s="38">
        <v>2024</v>
      </c>
      <c r="D152" s="14">
        <f>SUM(E152:I152)</f>
        <v>4904.1000000000004</v>
      </c>
      <c r="E152" s="14">
        <v>0</v>
      </c>
      <c r="F152" s="14">
        <v>4560.8</v>
      </c>
      <c r="G152" s="14">
        <v>0</v>
      </c>
      <c r="H152" s="14">
        <v>343.3</v>
      </c>
      <c r="I152" s="14">
        <v>0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</row>
    <row r="153" spans="1:219" s="6" customFormat="1" ht="18" customHeight="1" x14ac:dyDescent="0.3">
      <c r="A153" s="47"/>
      <c r="B153" s="50"/>
      <c r="C153" s="38">
        <v>2025</v>
      </c>
      <c r="D153" s="14">
        <f t="shared" ref="D153" si="59">SUM(E153:I153)</f>
        <v>5448.4</v>
      </c>
      <c r="E153" s="14">
        <v>0</v>
      </c>
      <c r="F153" s="14">
        <v>5067</v>
      </c>
      <c r="G153" s="14">
        <v>381.4</v>
      </c>
      <c r="H153" s="14">
        <v>0</v>
      </c>
      <c r="I153" s="14">
        <v>0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</row>
    <row r="154" spans="1:219" s="6" customFormat="1" ht="18" customHeight="1" x14ac:dyDescent="0.3">
      <c r="A154" s="48"/>
      <c r="B154" s="51"/>
      <c r="C154" s="38" t="s">
        <v>16</v>
      </c>
      <c r="D154" s="14">
        <f t="shared" ref="D154:I154" si="60">SUM(D152:D153)</f>
        <v>10352.5</v>
      </c>
      <c r="E154" s="14">
        <f t="shared" si="60"/>
        <v>0</v>
      </c>
      <c r="F154" s="14">
        <f t="shared" si="60"/>
        <v>9627.7999999999993</v>
      </c>
      <c r="G154" s="14">
        <f t="shared" si="60"/>
        <v>381.4</v>
      </c>
      <c r="H154" s="14">
        <f t="shared" si="60"/>
        <v>343.3</v>
      </c>
      <c r="I154" s="14">
        <f t="shared" si="60"/>
        <v>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</row>
    <row r="155" spans="1:219" s="6" customFormat="1" ht="18" customHeight="1" x14ac:dyDescent="0.3">
      <c r="A155" s="46" t="s">
        <v>27</v>
      </c>
      <c r="B155" s="49"/>
      <c r="C155" s="38">
        <v>2024</v>
      </c>
      <c r="D155" s="14">
        <f>SUM(E155:I155)</f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</row>
    <row r="156" spans="1:219" s="6" customFormat="1" ht="18" customHeight="1" x14ac:dyDescent="0.3">
      <c r="A156" s="47"/>
      <c r="B156" s="50"/>
      <c r="C156" s="38">
        <v>2025</v>
      </c>
      <c r="D156" s="14">
        <f>SUM(E156:I156)</f>
        <v>6882</v>
      </c>
      <c r="E156" s="14">
        <v>0</v>
      </c>
      <c r="F156" s="14">
        <f>30670.3-23788.3</f>
        <v>6882</v>
      </c>
      <c r="G156" s="14">
        <f>2308.6-2308.6</f>
        <v>0</v>
      </c>
      <c r="H156" s="14">
        <v>0</v>
      </c>
      <c r="I156" s="14">
        <v>0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</row>
    <row r="157" spans="1:219" s="6" customFormat="1" ht="18" customHeight="1" x14ac:dyDescent="0.3">
      <c r="A157" s="48"/>
      <c r="B157" s="51"/>
      <c r="C157" s="38" t="s">
        <v>16</v>
      </c>
      <c r="D157" s="14">
        <f t="shared" ref="D157:I157" si="61">SUM(D155:D156)</f>
        <v>6882</v>
      </c>
      <c r="E157" s="14">
        <f t="shared" si="61"/>
        <v>0</v>
      </c>
      <c r="F157" s="14">
        <f t="shared" si="61"/>
        <v>6882</v>
      </c>
      <c r="G157" s="14">
        <f t="shared" si="61"/>
        <v>0</v>
      </c>
      <c r="H157" s="14">
        <f t="shared" si="61"/>
        <v>0</v>
      </c>
      <c r="I157" s="14">
        <f t="shared" si="61"/>
        <v>0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</row>
    <row r="158" spans="1:219" s="6" customFormat="1" ht="22.5" customHeight="1" x14ac:dyDescent="0.3">
      <c r="A158" s="52" t="s">
        <v>28</v>
      </c>
      <c r="B158" s="49"/>
      <c r="C158" s="37">
        <v>2024</v>
      </c>
      <c r="D158" s="15">
        <f t="shared" ref="D158:H159" si="62">D161</f>
        <v>10215</v>
      </c>
      <c r="E158" s="15">
        <f t="shared" si="62"/>
        <v>0</v>
      </c>
      <c r="F158" s="15">
        <f t="shared" si="62"/>
        <v>9500</v>
      </c>
      <c r="G158" s="15">
        <f t="shared" si="62"/>
        <v>0</v>
      </c>
      <c r="H158" s="15">
        <f t="shared" si="62"/>
        <v>715</v>
      </c>
      <c r="I158" s="15">
        <v>0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</row>
    <row r="159" spans="1:219" s="6" customFormat="1" ht="22.5" customHeight="1" x14ac:dyDescent="0.3">
      <c r="A159" s="53"/>
      <c r="B159" s="50"/>
      <c r="C159" s="37">
        <v>2026</v>
      </c>
      <c r="D159" s="15">
        <f>SUM(E159:I159)</f>
        <v>122151</v>
      </c>
      <c r="E159" s="15">
        <f t="shared" si="62"/>
        <v>0</v>
      </c>
      <c r="F159" s="15">
        <f t="shared" si="62"/>
        <v>30000</v>
      </c>
      <c r="G159" s="15">
        <f t="shared" si="62"/>
        <v>92151</v>
      </c>
      <c r="H159" s="15">
        <f t="shared" si="62"/>
        <v>0</v>
      </c>
      <c r="I159" s="15">
        <f>I162</f>
        <v>0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</row>
    <row r="160" spans="1:219" s="6" customFormat="1" ht="39" customHeight="1" x14ac:dyDescent="0.3">
      <c r="A160" s="54"/>
      <c r="B160" s="51"/>
      <c r="C160" s="37" t="s">
        <v>16</v>
      </c>
      <c r="D160" s="15">
        <f t="shared" ref="D160:H160" si="63">SUM(D158:D159)</f>
        <v>132366</v>
      </c>
      <c r="E160" s="15">
        <f t="shared" si="63"/>
        <v>0</v>
      </c>
      <c r="F160" s="15">
        <f t="shared" si="63"/>
        <v>39500</v>
      </c>
      <c r="G160" s="15">
        <f t="shared" si="63"/>
        <v>92151</v>
      </c>
      <c r="H160" s="15">
        <f t="shared" si="63"/>
        <v>715</v>
      </c>
      <c r="I160" s="15">
        <f>SUM(I158:I159)</f>
        <v>0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</row>
    <row r="161" spans="1:219" s="6" customFormat="1" ht="22.5" customHeight="1" x14ac:dyDescent="0.3">
      <c r="A161" s="46" t="s">
        <v>25</v>
      </c>
      <c r="B161" s="49"/>
      <c r="C161" s="38">
        <v>2024</v>
      </c>
      <c r="D161" s="14">
        <f>SUM(E161:I161)</f>
        <v>10215</v>
      </c>
      <c r="E161" s="14">
        <v>0</v>
      </c>
      <c r="F161" s="14">
        <v>9500</v>
      </c>
      <c r="G161" s="14">
        <v>0</v>
      </c>
      <c r="H161" s="14">
        <v>715</v>
      </c>
      <c r="I161" s="14">
        <v>0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</row>
    <row r="162" spans="1:219" s="6" customFormat="1" ht="22.5" customHeight="1" x14ac:dyDescent="0.3">
      <c r="A162" s="47"/>
      <c r="B162" s="50"/>
      <c r="C162" s="38">
        <v>2026</v>
      </c>
      <c r="D162" s="14">
        <f>SUM(E162:I162)</f>
        <v>122151</v>
      </c>
      <c r="E162" s="14">
        <v>0</v>
      </c>
      <c r="F162" s="14">
        <v>30000</v>
      </c>
      <c r="G162" s="14">
        <f>92151.1-0.1</f>
        <v>92151</v>
      </c>
      <c r="H162" s="14">
        <v>0</v>
      </c>
      <c r="I162" s="14">
        <v>0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</row>
    <row r="163" spans="1:219" s="6" customFormat="1" ht="22.5" customHeight="1" x14ac:dyDescent="0.3">
      <c r="A163" s="48"/>
      <c r="B163" s="51"/>
      <c r="C163" s="38" t="s">
        <v>16</v>
      </c>
      <c r="D163" s="14">
        <f t="shared" ref="D163:H163" si="64">SUM(D161:D162)</f>
        <v>132366</v>
      </c>
      <c r="E163" s="14">
        <f t="shared" si="64"/>
        <v>0</v>
      </c>
      <c r="F163" s="14">
        <f t="shared" si="64"/>
        <v>39500</v>
      </c>
      <c r="G163" s="14">
        <f t="shared" si="64"/>
        <v>92151</v>
      </c>
      <c r="H163" s="14">
        <f t="shared" si="64"/>
        <v>715</v>
      </c>
      <c r="I163" s="14">
        <f>SUM(I161:I162)</f>
        <v>0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</row>
    <row r="164" spans="1:219" s="6" customFormat="1" ht="21.75" customHeight="1" x14ac:dyDescent="0.3">
      <c r="A164" s="52" t="s">
        <v>29</v>
      </c>
      <c r="B164" s="49"/>
      <c r="C164" s="37">
        <v>2024</v>
      </c>
      <c r="D164" s="15">
        <f t="shared" ref="D164:I166" si="65">D168</f>
        <v>4875.3</v>
      </c>
      <c r="E164" s="15">
        <f t="shared" si="65"/>
        <v>729.8</v>
      </c>
      <c r="F164" s="15">
        <f t="shared" si="65"/>
        <v>3804.3</v>
      </c>
      <c r="G164" s="15">
        <f t="shared" si="65"/>
        <v>0</v>
      </c>
      <c r="H164" s="15">
        <f t="shared" si="65"/>
        <v>341.2</v>
      </c>
      <c r="I164" s="15">
        <v>0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</row>
    <row r="165" spans="1:219" s="6" customFormat="1" ht="16.5" customHeight="1" x14ac:dyDescent="0.3">
      <c r="A165" s="53"/>
      <c r="B165" s="50"/>
      <c r="C165" s="37">
        <v>2025</v>
      </c>
      <c r="D165" s="15">
        <f>D169</f>
        <v>2781.7</v>
      </c>
      <c r="E165" s="15">
        <f t="shared" si="65"/>
        <v>249.5</v>
      </c>
      <c r="F165" s="15">
        <f t="shared" si="65"/>
        <v>1732.8</v>
      </c>
      <c r="G165" s="15">
        <f t="shared" si="65"/>
        <v>0</v>
      </c>
      <c r="H165" s="15">
        <f t="shared" si="65"/>
        <v>799.4</v>
      </c>
      <c r="I165" s="15">
        <f>I169</f>
        <v>0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</row>
    <row r="166" spans="1:219" s="6" customFormat="1" ht="20.25" customHeight="1" x14ac:dyDescent="0.3">
      <c r="A166" s="53"/>
      <c r="B166" s="50"/>
      <c r="C166" s="37">
        <v>2026</v>
      </c>
      <c r="D166" s="15">
        <f>D170</f>
        <v>13016.699999999999</v>
      </c>
      <c r="E166" s="15">
        <f t="shared" si="65"/>
        <v>1465.8</v>
      </c>
      <c r="F166" s="15">
        <f t="shared" si="65"/>
        <v>10379.4</v>
      </c>
      <c r="G166" s="15">
        <f t="shared" si="65"/>
        <v>0</v>
      </c>
      <c r="H166" s="15">
        <f t="shared" si="65"/>
        <v>1171.5</v>
      </c>
      <c r="I166" s="15">
        <f t="shared" si="65"/>
        <v>0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</row>
    <row r="167" spans="1:219" s="6" customFormat="1" ht="18" customHeight="1" x14ac:dyDescent="0.3">
      <c r="A167" s="54"/>
      <c r="B167" s="51"/>
      <c r="C167" s="37" t="s">
        <v>16</v>
      </c>
      <c r="D167" s="15">
        <f t="shared" ref="D167:I167" si="66">SUM(D164:D166)</f>
        <v>20673.699999999997</v>
      </c>
      <c r="E167" s="15">
        <f t="shared" si="66"/>
        <v>2445.1</v>
      </c>
      <c r="F167" s="15">
        <f t="shared" si="66"/>
        <v>15916.5</v>
      </c>
      <c r="G167" s="15">
        <f t="shared" si="66"/>
        <v>0</v>
      </c>
      <c r="H167" s="15">
        <f t="shared" si="66"/>
        <v>2312.1</v>
      </c>
      <c r="I167" s="15">
        <f t="shared" si="66"/>
        <v>0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</row>
    <row r="168" spans="1:219" s="6" customFormat="1" ht="18.75" customHeight="1" x14ac:dyDescent="0.3">
      <c r="A168" s="46" t="s">
        <v>30</v>
      </c>
      <c r="B168" s="49"/>
      <c r="C168" s="38">
        <v>2024</v>
      </c>
      <c r="D168" s="14">
        <f>SUM(E168:I168)</f>
        <v>4875.3</v>
      </c>
      <c r="E168" s="14">
        <v>729.8</v>
      </c>
      <c r="F168" s="14">
        <v>3804.3</v>
      </c>
      <c r="G168" s="14">
        <v>0</v>
      </c>
      <c r="H168" s="14">
        <v>341.2</v>
      </c>
      <c r="I168" s="14">
        <v>0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</row>
    <row r="169" spans="1:219" s="6" customFormat="1" ht="19.5" customHeight="1" x14ac:dyDescent="0.3">
      <c r="A169" s="47"/>
      <c r="B169" s="50"/>
      <c r="C169" s="38">
        <v>2025</v>
      </c>
      <c r="D169" s="14">
        <f>SUM(E169:I169)</f>
        <v>2781.7</v>
      </c>
      <c r="E169" s="14">
        <v>249.5</v>
      </c>
      <c r="F169" s="14">
        <v>1732.8</v>
      </c>
      <c r="G169" s="14">
        <v>0</v>
      </c>
      <c r="H169" s="14">
        <v>799.4</v>
      </c>
      <c r="I169" s="14">
        <v>0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</row>
    <row r="170" spans="1:219" s="6" customFormat="1" ht="20.25" customHeight="1" x14ac:dyDescent="0.3">
      <c r="A170" s="47"/>
      <c r="B170" s="50"/>
      <c r="C170" s="38">
        <v>2026</v>
      </c>
      <c r="D170" s="14">
        <f>SUM(E170:I170)</f>
        <v>13016.699999999999</v>
      </c>
      <c r="E170" s="14">
        <v>1465.8</v>
      </c>
      <c r="F170" s="14">
        <f>0+10379.4</f>
        <v>10379.4</v>
      </c>
      <c r="G170" s="14">
        <v>0</v>
      </c>
      <c r="H170" s="14">
        <f>881.7+289.8</f>
        <v>1171.5</v>
      </c>
      <c r="I170" s="14">
        <v>0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</row>
    <row r="171" spans="1:219" ht="19.5" customHeight="1" x14ac:dyDescent="0.3">
      <c r="A171" s="48"/>
      <c r="B171" s="51"/>
      <c r="C171" s="38" t="s">
        <v>16</v>
      </c>
      <c r="D171" s="14">
        <f t="shared" ref="D171:I171" si="67">SUM(D168:D170)</f>
        <v>20673.699999999997</v>
      </c>
      <c r="E171" s="14">
        <f t="shared" si="67"/>
        <v>2445.1</v>
      </c>
      <c r="F171" s="14">
        <f t="shared" si="67"/>
        <v>15916.5</v>
      </c>
      <c r="G171" s="14">
        <f t="shared" si="67"/>
        <v>0</v>
      </c>
      <c r="H171" s="14">
        <f t="shared" si="67"/>
        <v>2312.1</v>
      </c>
      <c r="I171" s="14">
        <f t="shared" si="67"/>
        <v>0</v>
      </c>
    </row>
    <row r="172" spans="1:219" s="6" customFormat="1" ht="39" customHeight="1" x14ac:dyDescent="0.3">
      <c r="A172" s="52" t="s">
        <v>53</v>
      </c>
      <c r="B172" s="49"/>
      <c r="C172" s="37">
        <v>2024</v>
      </c>
      <c r="D172" s="15">
        <f t="shared" ref="D172:H172" si="68">D174</f>
        <v>33750</v>
      </c>
      <c r="E172" s="15">
        <f t="shared" si="68"/>
        <v>0</v>
      </c>
      <c r="F172" s="15">
        <f t="shared" si="68"/>
        <v>23796.1</v>
      </c>
      <c r="G172" s="15">
        <f t="shared" si="68"/>
        <v>9953.9</v>
      </c>
      <c r="H172" s="15">
        <f t="shared" si="68"/>
        <v>0</v>
      </c>
      <c r="I172" s="15">
        <v>0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</row>
    <row r="173" spans="1:219" s="6" customFormat="1" ht="45" customHeight="1" x14ac:dyDescent="0.3">
      <c r="A173" s="54"/>
      <c r="B173" s="51"/>
      <c r="C173" s="37" t="s">
        <v>16</v>
      </c>
      <c r="D173" s="15">
        <f t="shared" ref="D173:I173" si="69">SUM(D172:D172)</f>
        <v>33750</v>
      </c>
      <c r="E173" s="15">
        <f t="shared" si="69"/>
        <v>0</v>
      </c>
      <c r="F173" s="15">
        <f t="shared" si="69"/>
        <v>23796.1</v>
      </c>
      <c r="G173" s="15">
        <f t="shared" si="69"/>
        <v>9953.9</v>
      </c>
      <c r="H173" s="15">
        <f t="shared" si="69"/>
        <v>0</v>
      </c>
      <c r="I173" s="15">
        <f t="shared" si="69"/>
        <v>0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</row>
    <row r="174" spans="1:219" s="6" customFormat="1" ht="45.75" customHeight="1" x14ac:dyDescent="0.3">
      <c r="A174" s="46" t="s">
        <v>54</v>
      </c>
      <c r="B174" s="49"/>
      <c r="C174" s="38">
        <v>2024</v>
      </c>
      <c r="D174" s="14">
        <f>SUM(E174:I174)</f>
        <v>33750</v>
      </c>
      <c r="E174" s="14">
        <v>0</v>
      </c>
      <c r="F174" s="14">
        <v>23796.1</v>
      </c>
      <c r="G174" s="14">
        <v>9953.9</v>
      </c>
      <c r="H174" s="14">
        <v>0</v>
      </c>
      <c r="I174" s="14">
        <v>0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</row>
    <row r="175" spans="1:219" ht="50.25" customHeight="1" x14ac:dyDescent="0.3">
      <c r="A175" s="48"/>
      <c r="B175" s="51"/>
      <c r="C175" s="38" t="s">
        <v>16</v>
      </c>
      <c r="D175" s="14">
        <f t="shared" ref="D175:I175" si="70">SUM(D174:D174)</f>
        <v>33750</v>
      </c>
      <c r="E175" s="14">
        <f t="shared" si="70"/>
        <v>0</v>
      </c>
      <c r="F175" s="14">
        <f t="shared" si="70"/>
        <v>23796.1</v>
      </c>
      <c r="G175" s="14">
        <f t="shared" si="70"/>
        <v>9953.9</v>
      </c>
      <c r="H175" s="14">
        <f t="shared" si="70"/>
        <v>0</v>
      </c>
      <c r="I175" s="14">
        <f t="shared" si="70"/>
        <v>0</v>
      </c>
    </row>
    <row r="176" spans="1:219" x14ac:dyDescent="0.3">
      <c r="A176" s="24" t="s">
        <v>31</v>
      </c>
      <c r="B176" s="25"/>
      <c r="C176" s="26"/>
      <c r="D176" s="27"/>
      <c r="E176" s="27"/>
      <c r="F176" s="27"/>
      <c r="G176" s="27"/>
      <c r="H176" s="27"/>
      <c r="I176" s="28"/>
    </row>
    <row r="177" spans="1:219" x14ac:dyDescent="0.3">
      <c r="A177" s="55" t="s">
        <v>32</v>
      </c>
      <c r="B177" s="45"/>
      <c r="C177" s="37">
        <v>2022</v>
      </c>
      <c r="D177" s="22">
        <f t="shared" ref="D177:D180" si="71">SUM(E177:I177)</f>
        <v>183148.7</v>
      </c>
      <c r="E177" s="22">
        <f t="shared" ref="E177:I178" si="72">E186+E270+E294+E311+E340+E357+E391+E409</f>
        <v>132.1</v>
      </c>
      <c r="F177" s="22">
        <f t="shared" si="72"/>
        <v>4245.3999999999996</v>
      </c>
      <c r="G177" s="22">
        <f t="shared" si="72"/>
        <v>995.7</v>
      </c>
      <c r="H177" s="22">
        <f t="shared" si="72"/>
        <v>177775.5</v>
      </c>
      <c r="I177" s="22">
        <f t="shared" si="72"/>
        <v>0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</row>
    <row r="178" spans="1:219" x14ac:dyDescent="0.3">
      <c r="A178" s="55"/>
      <c r="B178" s="45"/>
      <c r="C178" s="37">
        <v>2023</v>
      </c>
      <c r="D178" s="22">
        <f t="shared" si="71"/>
        <v>191150.8</v>
      </c>
      <c r="E178" s="22">
        <f t="shared" si="72"/>
        <v>204.2</v>
      </c>
      <c r="F178" s="22">
        <f t="shared" si="72"/>
        <v>5375.6</v>
      </c>
      <c r="G178" s="22">
        <f t="shared" si="72"/>
        <v>12769.400000000001</v>
      </c>
      <c r="H178" s="22">
        <f t="shared" si="72"/>
        <v>172801.59999999998</v>
      </c>
      <c r="I178" s="22">
        <f t="shared" si="72"/>
        <v>0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</row>
    <row r="179" spans="1:219" x14ac:dyDescent="0.3">
      <c r="A179" s="55"/>
      <c r="B179" s="45"/>
      <c r="C179" s="37">
        <v>2024</v>
      </c>
      <c r="D179" s="22">
        <f t="shared" si="71"/>
        <v>268046.2</v>
      </c>
      <c r="E179" s="22">
        <f>E188+E272+E296+E313+E342+E359+E411</f>
        <v>0</v>
      </c>
      <c r="F179" s="22">
        <f>F188+F272+F296+F313+F342+F359+F411</f>
        <v>3061.2</v>
      </c>
      <c r="G179" s="22">
        <f>G188+G272+G296+G313+G342+G359+G411</f>
        <v>81831.7</v>
      </c>
      <c r="H179" s="22">
        <f>H188+H272+H296+H313+H342+H359+H411</f>
        <v>173153.30000000002</v>
      </c>
      <c r="I179" s="22">
        <f>I188+I272+I296+I313+I342+I359+I411</f>
        <v>10000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</row>
    <row r="180" spans="1:219" x14ac:dyDescent="0.3">
      <c r="A180" s="55"/>
      <c r="B180" s="45"/>
      <c r="C180" s="37">
        <v>2025</v>
      </c>
      <c r="D180" s="22">
        <f t="shared" si="71"/>
        <v>269011.5</v>
      </c>
      <c r="E180" s="22">
        <f>E189+E273+E297+E314+E343+E360+E393+E412</f>
        <v>0</v>
      </c>
      <c r="F180" s="22">
        <f>F189+F273+F297+F314+F343+F360+F393+F412</f>
        <v>3024.2</v>
      </c>
      <c r="G180" s="22">
        <f>G189+G273+G297+G314+G343+G360+G393+G412</f>
        <v>82883</v>
      </c>
      <c r="H180" s="22">
        <f>H189+H273+H297+H314+H343+H360+H393+H412</f>
        <v>176104.3</v>
      </c>
      <c r="I180" s="22">
        <f>I189+I273+I297+I314+I343+I360+I393+I412</f>
        <v>7000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</row>
    <row r="181" spans="1:219" x14ac:dyDescent="0.3">
      <c r="A181" s="55"/>
      <c r="B181" s="45"/>
      <c r="C181" s="37">
        <v>2026</v>
      </c>
      <c r="D181" s="22">
        <f t="shared" ref="D181:I181" si="73">D190+D274+D298+D315+D344+D361+D413</f>
        <v>284944.51734000002</v>
      </c>
      <c r="E181" s="22">
        <f t="shared" si="73"/>
        <v>0</v>
      </c>
      <c r="F181" s="22">
        <f t="shared" si="73"/>
        <v>3054.3</v>
      </c>
      <c r="G181" s="22">
        <f t="shared" si="73"/>
        <v>55840.117339999997</v>
      </c>
      <c r="H181" s="22">
        <f t="shared" si="73"/>
        <v>213050.1</v>
      </c>
      <c r="I181" s="22">
        <f t="shared" si="73"/>
        <v>13000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</row>
    <row r="182" spans="1:219" x14ac:dyDescent="0.3">
      <c r="A182" s="55"/>
      <c r="B182" s="45"/>
      <c r="C182" s="37">
        <v>2027</v>
      </c>
      <c r="D182" s="22">
        <f>SUM(E182:I182)</f>
        <v>142848.00000000003</v>
      </c>
      <c r="E182" s="22">
        <f t="shared" ref="E182:I182" si="74">E191+E275+E299+E362+E414+E426</f>
        <v>0</v>
      </c>
      <c r="F182" s="22">
        <f t="shared" si="74"/>
        <v>0</v>
      </c>
      <c r="G182" s="22">
        <f t="shared" si="74"/>
        <v>0</v>
      </c>
      <c r="H182" s="22">
        <f t="shared" si="74"/>
        <v>142848.00000000003</v>
      </c>
      <c r="I182" s="22">
        <f t="shared" si="74"/>
        <v>0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</row>
    <row r="183" spans="1:219" x14ac:dyDescent="0.3">
      <c r="A183" s="55"/>
      <c r="B183" s="45"/>
      <c r="C183" s="37">
        <v>2028</v>
      </c>
      <c r="D183" s="33">
        <f>SUM(E183:I183)</f>
        <v>155680.79999999999</v>
      </c>
      <c r="E183" s="33">
        <f t="shared" ref="E183:I183" si="75">E192+E276+E300+E363+E415</f>
        <v>0</v>
      </c>
      <c r="F183" s="33">
        <f t="shared" si="75"/>
        <v>0</v>
      </c>
      <c r="G183" s="33">
        <f t="shared" si="75"/>
        <v>0</v>
      </c>
      <c r="H183" s="33">
        <f t="shared" si="75"/>
        <v>155680.79999999999</v>
      </c>
      <c r="I183" s="33">
        <f t="shared" si="75"/>
        <v>0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</row>
    <row r="184" spans="1:219" x14ac:dyDescent="0.3">
      <c r="A184" s="55"/>
      <c r="B184" s="45"/>
      <c r="C184" s="37" t="s">
        <v>16</v>
      </c>
      <c r="D184" s="22">
        <f t="shared" ref="D184:H184" si="76">SUM(D177:D183)</f>
        <v>1494830.51734</v>
      </c>
      <c r="E184" s="22">
        <f t="shared" si="76"/>
        <v>336.29999999999995</v>
      </c>
      <c r="F184" s="22">
        <f t="shared" si="76"/>
        <v>18760.7</v>
      </c>
      <c r="G184" s="22">
        <f t="shared" si="76"/>
        <v>234319.91733999999</v>
      </c>
      <c r="H184" s="22">
        <f t="shared" si="76"/>
        <v>1211413.6000000001</v>
      </c>
      <c r="I184" s="22">
        <f>SUM(I177:I183)</f>
        <v>30000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</row>
    <row r="185" spans="1:219" x14ac:dyDescent="0.3">
      <c r="A185" s="39" t="s">
        <v>70</v>
      </c>
      <c r="B185" s="17"/>
      <c r="C185" s="17"/>
      <c r="D185" s="18"/>
      <c r="E185" s="19"/>
      <c r="F185" s="19"/>
      <c r="G185" s="19"/>
      <c r="H185" s="19"/>
      <c r="I185" s="20"/>
    </row>
    <row r="186" spans="1:219" x14ac:dyDescent="0.3">
      <c r="A186" s="55" t="s">
        <v>16</v>
      </c>
      <c r="B186" s="45"/>
      <c r="C186" s="37">
        <v>2022</v>
      </c>
      <c r="D186" s="15">
        <f t="shared" ref="D186:I187" si="77">D194+D202+D210+D218+D222+D230+D239+D242+D245+D248+D251+D257</f>
        <v>116103.9</v>
      </c>
      <c r="E186" s="15">
        <f t="shared" si="77"/>
        <v>0</v>
      </c>
      <c r="F186" s="15">
        <f t="shared" si="77"/>
        <v>3164.1</v>
      </c>
      <c r="G186" s="15">
        <f t="shared" si="77"/>
        <v>0</v>
      </c>
      <c r="H186" s="15">
        <f t="shared" si="77"/>
        <v>112939.79999999999</v>
      </c>
      <c r="I186" s="15">
        <f t="shared" si="77"/>
        <v>0</v>
      </c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</row>
    <row r="187" spans="1:219" x14ac:dyDescent="0.3">
      <c r="A187" s="55"/>
      <c r="B187" s="45"/>
      <c r="C187" s="37">
        <v>2023</v>
      </c>
      <c r="D187" s="15">
        <f t="shared" si="77"/>
        <v>123934.69999999998</v>
      </c>
      <c r="E187" s="15">
        <f t="shared" si="77"/>
        <v>0</v>
      </c>
      <c r="F187" s="15">
        <f t="shared" si="77"/>
        <v>4101.2</v>
      </c>
      <c r="G187" s="15">
        <f t="shared" si="77"/>
        <v>12140.900000000001</v>
      </c>
      <c r="H187" s="15">
        <f t="shared" si="77"/>
        <v>107692.59999999998</v>
      </c>
      <c r="I187" s="15">
        <f t="shared" si="77"/>
        <v>0</v>
      </c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</row>
    <row r="188" spans="1:219" x14ac:dyDescent="0.3">
      <c r="A188" s="55"/>
      <c r="B188" s="45"/>
      <c r="C188" s="37">
        <v>2024</v>
      </c>
      <c r="D188" s="15">
        <f t="shared" ref="D188:I188" si="78">D196+D204+D212+D220+D224+D232+D253+D259</f>
        <v>193513.5</v>
      </c>
      <c r="E188" s="15">
        <f t="shared" si="78"/>
        <v>0</v>
      </c>
      <c r="F188" s="15">
        <f t="shared" si="78"/>
        <v>3061.2</v>
      </c>
      <c r="G188" s="15">
        <f t="shared" si="78"/>
        <v>76253.7</v>
      </c>
      <c r="H188" s="15">
        <f t="shared" si="78"/>
        <v>104198.6</v>
      </c>
      <c r="I188" s="15">
        <f t="shared" si="78"/>
        <v>10000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</row>
    <row r="189" spans="1:219" x14ac:dyDescent="0.3">
      <c r="A189" s="55"/>
      <c r="B189" s="45"/>
      <c r="C189" s="37">
        <v>2025</v>
      </c>
      <c r="D189" s="15">
        <f t="shared" ref="D189:I189" si="79">D197+D205+D213+D225+D233+D236+D254+D260+D262+D265</f>
        <v>124771.8</v>
      </c>
      <c r="E189" s="15">
        <f t="shared" si="79"/>
        <v>0</v>
      </c>
      <c r="F189" s="15">
        <f t="shared" si="79"/>
        <v>3024.2</v>
      </c>
      <c r="G189" s="15">
        <f t="shared" si="79"/>
        <v>27436.9</v>
      </c>
      <c r="H189" s="15">
        <f t="shared" si="79"/>
        <v>87310.7</v>
      </c>
      <c r="I189" s="15">
        <f t="shared" si="79"/>
        <v>7000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</row>
    <row r="190" spans="1:219" x14ac:dyDescent="0.3">
      <c r="A190" s="55"/>
      <c r="B190" s="45"/>
      <c r="C190" s="37">
        <v>2026</v>
      </c>
      <c r="D190" s="15">
        <f t="shared" ref="D190:H190" si="80">D198+D206+D214+D226+D234+D255+D263+D267</f>
        <v>157922.71733999997</v>
      </c>
      <c r="E190" s="15">
        <f t="shared" si="80"/>
        <v>0</v>
      </c>
      <c r="F190" s="15">
        <f t="shared" si="80"/>
        <v>3054.3</v>
      </c>
      <c r="G190" s="15">
        <f t="shared" si="80"/>
        <v>19621.717339999999</v>
      </c>
      <c r="H190" s="15">
        <f t="shared" si="80"/>
        <v>122246.70000000001</v>
      </c>
      <c r="I190" s="15">
        <f>I198+I206+I214+I226+I234+I255+I263+I267</f>
        <v>13000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</row>
    <row r="191" spans="1:219" x14ac:dyDescent="0.3">
      <c r="A191" s="55"/>
      <c r="B191" s="45"/>
      <c r="C191" s="37">
        <v>2027</v>
      </c>
      <c r="D191" s="15">
        <f t="shared" ref="D191:H192" si="81">D199+D207+D215+D227</f>
        <v>71005.400000000009</v>
      </c>
      <c r="E191" s="15">
        <f t="shared" si="81"/>
        <v>0</v>
      </c>
      <c r="F191" s="15">
        <f t="shared" si="81"/>
        <v>0</v>
      </c>
      <c r="G191" s="15">
        <f t="shared" si="81"/>
        <v>0</v>
      </c>
      <c r="H191" s="15">
        <f t="shared" si="81"/>
        <v>71005.400000000009</v>
      </c>
      <c r="I191" s="15">
        <f>I199+I207+I215+I227</f>
        <v>0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</row>
    <row r="192" spans="1:219" x14ac:dyDescent="0.3">
      <c r="A192" s="55"/>
      <c r="B192" s="45"/>
      <c r="C192" s="37">
        <v>2028</v>
      </c>
      <c r="D192" s="15">
        <f t="shared" si="81"/>
        <v>80314.2</v>
      </c>
      <c r="E192" s="15">
        <f t="shared" si="81"/>
        <v>0</v>
      </c>
      <c r="F192" s="15">
        <f t="shared" si="81"/>
        <v>0</v>
      </c>
      <c r="G192" s="15">
        <f t="shared" si="81"/>
        <v>0</v>
      </c>
      <c r="H192" s="15">
        <f t="shared" si="81"/>
        <v>80314.2</v>
      </c>
      <c r="I192" s="15">
        <f>I200+I208+I216+I228</f>
        <v>0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</row>
    <row r="193" spans="1:219" x14ac:dyDescent="0.3">
      <c r="A193" s="55"/>
      <c r="B193" s="45"/>
      <c r="C193" s="37" t="s">
        <v>16</v>
      </c>
      <c r="D193" s="15">
        <f t="shared" ref="D193:H193" si="82">SUM(D186:D192)</f>
        <v>867566.21733999997</v>
      </c>
      <c r="E193" s="15">
        <f t="shared" si="82"/>
        <v>0</v>
      </c>
      <c r="F193" s="15">
        <f t="shared" si="82"/>
        <v>16405</v>
      </c>
      <c r="G193" s="15">
        <f t="shared" si="82"/>
        <v>135453.21734</v>
      </c>
      <c r="H193" s="15">
        <f t="shared" si="82"/>
        <v>685708</v>
      </c>
      <c r="I193" s="15">
        <f>SUM(I186:I192)</f>
        <v>30000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</row>
    <row r="194" spans="1:219" x14ac:dyDescent="0.3">
      <c r="A194" s="66" t="s">
        <v>33</v>
      </c>
      <c r="B194" s="62"/>
      <c r="C194" s="38">
        <v>2022</v>
      </c>
      <c r="D194" s="14">
        <f t="shared" ref="D194:D199" si="83">SUM(E194:I194)</f>
        <v>49765.7</v>
      </c>
      <c r="E194" s="14">
        <v>0</v>
      </c>
      <c r="F194" s="14">
        <v>0</v>
      </c>
      <c r="G194" s="14">
        <v>0</v>
      </c>
      <c r="H194" s="14">
        <v>49765.7</v>
      </c>
      <c r="I194" s="14">
        <v>0</v>
      </c>
    </row>
    <row r="195" spans="1:219" s="6" customFormat="1" x14ac:dyDescent="0.3">
      <c r="A195" s="66"/>
      <c r="B195" s="62"/>
      <c r="C195" s="38">
        <v>2023</v>
      </c>
      <c r="D195" s="14">
        <f t="shared" si="83"/>
        <v>42525.2</v>
      </c>
      <c r="E195" s="14">
        <v>0</v>
      </c>
      <c r="F195" s="14">
        <v>0</v>
      </c>
      <c r="G195" s="14">
        <v>0</v>
      </c>
      <c r="H195" s="14">
        <v>42525.2</v>
      </c>
      <c r="I195" s="14">
        <v>0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</row>
    <row r="196" spans="1:219" s="6" customFormat="1" x14ac:dyDescent="0.3">
      <c r="A196" s="66"/>
      <c r="B196" s="62"/>
      <c r="C196" s="38">
        <v>2024</v>
      </c>
      <c r="D196" s="14">
        <f t="shared" si="83"/>
        <v>30396.2</v>
      </c>
      <c r="E196" s="14">
        <v>0</v>
      </c>
      <c r="F196" s="14">
        <v>0</v>
      </c>
      <c r="G196" s="14">
        <v>0</v>
      </c>
      <c r="H196" s="14">
        <v>30396.2</v>
      </c>
      <c r="I196" s="14">
        <v>0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</row>
    <row r="197" spans="1:219" s="6" customFormat="1" x14ac:dyDescent="0.3">
      <c r="A197" s="66"/>
      <c r="B197" s="62"/>
      <c r="C197" s="38">
        <v>2025</v>
      </c>
      <c r="D197" s="14">
        <f t="shared" si="83"/>
        <v>58124.800000000003</v>
      </c>
      <c r="E197" s="14">
        <v>0</v>
      </c>
      <c r="F197" s="14">
        <v>0</v>
      </c>
      <c r="G197" s="14">
        <v>0</v>
      </c>
      <c r="H197" s="14">
        <f>29916.9+23910-2670.5-0.1-162+130.5</f>
        <v>51124.800000000003</v>
      </c>
      <c r="I197" s="14">
        <v>7000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</row>
    <row r="198" spans="1:219" s="6" customFormat="1" x14ac:dyDescent="0.3">
      <c r="A198" s="66"/>
      <c r="B198" s="62"/>
      <c r="C198" s="38">
        <v>2026</v>
      </c>
      <c r="D198" s="14">
        <f t="shared" si="83"/>
        <v>95979.400000000009</v>
      </c>
      <c r="E198" s="14">
        <v>0</v>
      </c>
      <c r="F198" s="14">
        <v>0</v>
      </c>
      <c r="G198" s="14">
        <v>0</v>
      </c>
      <c r="H198" s="14">
        <f>66898.3+12757.3-2000+2456-171.3-9.8-263.5+598.6+570+1548.8+595</f>
        <v>82979.400000000009</v>
      </c>
      <c r="I198" s="14">
        <f>0+6000+7000</f>
        <v>13000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</row>
    <row r="199" spans="1:219" s="6" customFormat="1" x14ac:dyDescent="0.3">
      <c r="A199" s="66"/>
      <c r="B199" s="62"/>
      <c r="C199" s="38">
        <v>2027</v>
      </c>
      <c r="D199" s="14">
        <f t="shared" si="83"/>
        <v>41139.600000000006</v>
      </c>
      <c r="E199" s="14">
        <v>0</v>
      </c>
      <c r="F199" s="14">
        <v>0</v>
      </c>
      <c r="G199" s="14">
        <v>0</v>
      </c>
      <c r="H199" s="14">
        <f>49474.2-4766.2-3046.7-521.7</f>
        <v>41139.600000000006</v>
      </c>
      <c r="I199" s="14">
        <v>0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</row>
    <row r="200" spans="1:219" s="6" customFormat="1" x14ac:dyDescent="0.3">
      <c r="A200" s="66"/>
      <c r="B200" s="62"/>
      <c r="C200" s="38">
        <v>2028</v>
      </c>
      <c r="D200" s="14">
        <f>SUM(E200:I200)</f>
        <v>49474.2</v>
      </c>
      <c r="E200" s="14">
        <v>0</v>
      </c>
      <c r="F200" s="14">
        <v>0</v>
      </c>
      <c r="G200" s="14">
        <v>0</v>
      </c>
      <c r="H200" s="14">
        <v>49474.2</v>
      </c>
      <c r="I200" s="14">
        <v>0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</row>
    <row r="201" spans="1:219" s="6" customFormat="1" x14ac:dyDescent="0.3">
      <c r="A201" s="66"/>
      <c r="B201" s="62"/>
      <c r="C201" s="38" t="s">
        <v>16</v>
      </c>
      <c r="D201" s="14">
        <f>SUM(D194:D200)</f>
        <v>367405.10000000003</v>
      </c>
      <c r="E201" s="14">
        <f t="shared" ref="E201:H201" si="84">SUM(E194:E200)</f>
        <v>0</v>
      </c>
      <c r="F201" s="14">
        <f t="shared" si="84"/>
        <v>0</v>
      </c>
      <c r="G201" s="14">
        <f t="shared" si="84"/>
        <v>0</v>
      </c>
      <c r="H201" s="14">
        <f t="shared" si="84"/>
        <v>347405.10000000003</v>
      </c>
      <c r="I201" s="14">
        <f>SUM(I194:I200)</f>
        <v>20000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</row>
    <row r="202" spans="1:219" s="6" customFormat="1" x14ac:dyDescent="0.3">
      <c r="A202" s="46" t="s">
        <v>34</v>
      </c>
      <c r="B202" s="62"/>
      <c r="C202" s="38">
        <v>2022</v>
      </c>
      <c r="D202" s="14">
        <f t="shared" ref="D202:D207" si="85">SUM(E202:I202)</f>
        <v>9189</v>
      </c>
      <c r="E202" s="14">
        <v>0</v>
      </c>
      <c r="F202" s="14">
        <v>0</v>
      </c>
      <c r="G202" s="14">
        <v>0</v>
      </c>
      <c r="H202" s="14">
        <v>9189</v>
      </c>
      <c r="I202" s="14">
        <v>0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</row>
    <row r="203" spans="1:219" s="6" customFormat="1" x14ac:dyDescent="0.3">
      <c r="A203" s="47"/>
      <c r="B203" s="62"/>
      <c r="C203" s="38">
        <v>2023</v>
      </c>
      <c r="D203" s="14">
        <f t="shared" si="85"/>
        <v>9773.1</v>
      </c>
      <c r="E203" s="14">
        <v>0</v>
      </c>
      <c r="F203" s="14">
        <v>0</v>
      </c>
      <c r="G203" s="14">
        <v>0</v>
      </c>
      <c r="H203" s="14">
        <v>9773.1</v>
      </c>
      <c r="I203" s="14">
        <v>0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</row>
    <row r="204" spans="1:219" s="6" customFormat="1" x14ac:dyDescent="0.3">
      <c r="A204" s="47"/>
      <c r="B204" s="62"/>
      <c r="C204" s="38">
        <v>2024</v>
      </c>
      <c r="D204" s="14">
        <f t="shared" si="85"/>
        <v>8391.7999999999993</v>
      </c>
      <c r="E204" s="14">
        <v>0</v>
      </c>
      <c r="F204" s="14">
        <v>0</v>
      </c>
      <c r="G204" s="14">
        <v>0</v>
      </c>
      <c r="H204" s="14">
        <v>8391.7999999999993</v>
      </c>
      <c r="I204" s="14">
        <v>0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</row>
    <row r="205" spans="1:219" s="6" customFormat="1" x14ac:dyDescent="0.3">
      <c r="A205" s="47"/>
      <c r="B205" s="62"/>
      <c r="C205" s="38">
        <v>2025</v>
      </c>
      <c r="D205" s="14">
        <f t="shared" si="85"/>
        <v>9728.2999999999993</v>
      </c>
      <c r="E205" s="14">
        <v>0</v>
      </c>
      <c r="F205" s="14">
        <v>0</v>
      </c>
      <c r="G205" s="14">
        <v>0</v>
      </c>
      <c r="H205" s="14">
        <f>9575.3+153</f>
        <v>9728.2999999999993</v>
      </c>
      <c r="I205" s="14">
        <v>0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</row>
    <row r="206" spans="1:219" s="6" customFormat="1" x14ac:dyDescent="0.3">
      <c r="A206" s="47"/>
      <c r="B206" s="62"/>
      <c r="C206" s="38">
        <v>2026</v>
      </c>
      <c r="D206" s="14">
        <f t="shared" si="85"/>
        <v>12388.599999999999</v>
      </c>
      <c r="E206" s="14">
        <v>0</v>
      </c>
      <c r="F206" s="14">
        <v>0</v>
      </c>
      <c r="G206" s="14">
        <v>0</v>
      </c>
      <c r="H206" s="14">
        <f>9571.8+2220.4+596.4</f>
        <v>12388.599999999999</v>
      </c>
      <c r="I206" s="14">
        <v>0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</row>
    <row r="207" spans="1:219" s="6" customFormat="1" x14ac:dyDescent="0.3">
      <c r="A207" s="47"/>
      <c r="B207" s="62"/>
      <c r="C207" s="38">
        <v>2027</v>
      </c>
      <c r="D207" s="14">
        <f t="shared" si="85"/>
        <v>9571.7999999999993</v>
      </c>
      <c r="E207" s="14">
        <v>0</v>
      </c>
      <c r="F207" s="14">
        <v>0</v>
      </c>
      <c r="G207" s="14">
        <v>0</v>
      </c>
      <c r="H207" s="14">
        <v>9571.7999999999993</v>
      </c>
      <c r="I207" s="14">
        <v>0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</row>
    <row r="208" spans="1:219" s="6" customFormat="1" x14ac:dyDescent="0.3">
      <c r="A208" s="47"/>
      <c r="B208" s="62"/>
      <c r="C208" s="38">
        <v>2028</v>
      </c>
      <c r="D208" s="14">
        <f>SUM(E208:I208)</f>
        <v>9571.7999999999993</v>
      </c>
      <c r="E208" s="14">
        <v>0</v>
      </c>
      <c r="F208" s="14">
        <v>0</v>
      </c>
      <c r="G208" s="14">
        <v>0</v>
      </c>
      <c r="H208" s="14">
        <v>9571.7999999999993</v>
      </c>
      <c r="I208" s="14">
        <v>0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</row>
    <row r="209" spans="1:219" s="6" customFormat="1" x14ac:dyDescent="0.3">
      <c r="A209" s="48"/>
      <c r="B209" s="62"/>
      <c r="C209" s="38" t="s">
        <v>16</v>
      </c>
      <c r="D209" s="14">
        <f>SUM(D202:D208)</f>
        <v>68614.399999999994</v>
      </c>
      <c r="E209" s="14">
        <f t="shared" ref="E209:H209" si="86">SUM(E202:E208)</f>
        <v>0</v>
      </c>
      <c r="F209" s="14">
        <f t="shared" si="86"/>
        <v>0</v>
      </c>
      <c r="G209" s="14">
        <f t="shared" si="86"/>
        <v>0</v>
      </c>
      <c r="H209" s="14">
        <f t="shared" si="86"/>
        <v>68614.399999999994</v>
      </c>
      <c r="I209" s="14">
        <f>SUM(I202:I208)</f>
        <v>0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</row>
    <row r="210" spans="1:219" s="6" customFormat="1" x14ac:dyDescent="0.3">
      <c r="A210" s="46" t="s">
        <v>35</v>
      </c>
      <c r="B210" s="62"/>
      <c r="C210" s="38">
        <v>2022</v>
      </c>
      <c r="D210" s="21">
        <f t="shared" ref="D210:D215" si="87">SUM(E210:I210)</f>
        <v>16065.4</v>
      </c>
      <c r="E210" s="14">
        <v>0</v>
      </c>
      <c r="F210" s="14">
        <v>0</v>
      </c>
      <c r="G210" s="14">
        <v>0</v>
      </c>
      <c r="H210" s="14">
        <v>16065.4</v>
      </c>
      <c r="I210" s="14">
        <v>0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</row>
    <row r="211" spans="1:219" s="6" customFormat="1" x14ac:dyDescent="0.3">
      <c r="A211" s="47"/>
      <c r="B211" s="62"/>
      <c r="C211" s="38">
        <v>2023</v>
      </c>
      <c r="D211" s="21">
        <f t="shared" si="87"/>
        <v>23656.2</v>
      </c>
      <c r="E211" s="14">
        <v>0</v>
      </c>
      <c r="F211" s="14">
        <v>0</v>
      </c>
      <c r="G211" s="14">
        <v>0</v>
      </c>
      <c r="H211" s="14">
        <v>23656.2</v>
      </c>
      <c r="I211" s="14">
        <v>0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</row>
    <row r="212" spans="1:219" s="6" customFormat="1" x14ac:dyDescent="0.3">
      <c r="A212" s="47"/>
      <c r="B212" s="62"/>
      <c r="C212" s="38">
        <v>2024</v>
      </c>
      <c r="D212" s="21">
        <f t="shared" si="87"/>
        <v>18248.3</v>
      </c>
      <c r="E212" s="14">
        <v>0</v>
      </c>
      <c r="F212" s="14">
        <v>0</v>
      </c>
      <c r="G212" s="14">
        <v>0</v>
      </c>
      <c r="H212" s="14">
        <v>18248.3</v>
      </c>
      <c r="I212" s="14">
        <v>0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</row>
    <row r="213" spans="1:219" s="6" customFormat="1" x14ac:dyDescent="0.3">
      <c r="A213" s="47"/>
      <c r="B213" s="62"/>
      <c r="C213" s="38">
        <v>2025</v>
      </c>
      <c r="D213" s="21">
        <f t="shared" si="87"/>
        <v>20665</v>
      </c>
      <c r="E213" s="14">
        <v>0</v>
      </c>
      <c r="F213" s="14">
        <v>0</v>
      </c>
      <c r="G213" s="14">
        <v>0</v>
      </c>
      <c r="H213" s="14">
        <f>19065+1600</f>
        <v>20665</v>
      </c>
      <c r="I213" s="14">
        <v>0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</row>
    <row r="214" spans="1:219" s="6" customFormat="1" x14ac:dyDescent="0.3">
      <c r="A214" s="47"/>
      <c r="B214" s="62"/>
      <c r="C214" s="38">
        <v>2026</v>
      </c>
      <c r="D214" s="21">
        <f t="shared" si="87"/>
        <v>20340.3</v>
      </c>
      <c r="E214" s="14">
        <v>0</v>
      </c>
      <c r="F214" s="14">
        <v>0</v>
      </c>
      <c r="G214" s="14">
        <v>0</v>
      </c>
      <c r="H214" s="14">
        <f>20294+3.8+42.5</f>
        <v>20340.3</v>
      </c>
      <c r="I214" s="14">
        <v>0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</row>
    <row r="215" spans="1:219" s="6" customFormat="1" x14ac:dyDescent="0.3">
      <c r="A215" s="47"/>
      <c r="B215" s="62"/>
      <c r="C215" s="38">
        <v>2027</v>
      </c>
      <c r="D215" s="21">
        <f t="shared" si="87"/>
        <v>20294</v>
      </c>
      <c r="E215" s="14">
        <v>0</v>
      </c>
      <c r="F215" s="14">
        <v>0</v>
      </c>
      <c r="G215" s="14">
        <v>0</v>
      </c>
      <c r="H215" s="14">
        <v>20294</v>
      </c>
      <c r="I215" s="14">
        <v>0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</row>
    <row r="216" spans="1:219" s="6" customFormat="1" x14ac:dyDescent="0.3">
      <c r="A216" s="47"/>
      <c r="B216" s="62"/>
      <c r="C216" s="38">
        <v>2028</v>
      </c>
      <c r="D216" s="14">
        <f>SUM(E216:I216)</f>
        <v>20294</v>
      </c>
      <c r="E216" s="14">
        <v>0</v>
      </c>
      <c r="F216" s="14">
        <v>0</v>
      </c>
      <c r="G216" s="14">
        <v>0</v>
      </c>
      <c r="H216" s="14">
        <v>20294</v>
      </c>
      <c r="I216" s="14">
        <v>0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</row>
    <row r="217" spans="1:219" s="6" customFormat="1" x14ac:dyDescent="0.3">
      <c r="A217" s="48"/>
      <c r="B217" s="62"/>
      <c r="C217" s="38" t="s">
        <v>16</v>
      </c>
      <c r="D217" s="21">
        <f>SUM(D210:D216)</f>
        <v>139563.20000000001</v>
      </c>
      <c r="E217" s="21">
        <f t="shared" ref="E217:H217" si="88">SUM(E210:E216)</f>
        <v>0</v>
      </c>
      <c r="F217" s="21">
        <f t="shared" si="88"/>
        <v>0</v>
      </c>
      <c r="G217" s="21">
        <f t="shared" si="88"/>
        <v>0</v>
      </c>
      <c r="H217" s="21">
        <f t="shared" si="88"/>
        <v>139563.20000000001</v>
      </c>
      <c r="I217" s="21">
        <f>SUM(I210:I216)</f>
        <v>0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</row>
    <row r="218" spans="1:219" s="6" customFormat="1" ht="18.75" customHeight="1" x14ac:dyDescent="0.3">
      <c r="A218" s="46" t="s">
        <v>36</v>
      </c>
      <c r="B218" s="62"/>
      <c r="C218" s="38">
        <v>2022</v>
      </c>
      <c r="D218" s="14">
        <f t="shared" ref="D218:D220" si="89">SUM(E218:I218)</f>
        <v>17098.7</v>
      </c>
      <c r="E218" s="14">
        <v>0</v>
      </c>
      <c r="F218" s="14">
        <v>0</v>
      </c>
      <c r="G218" s="14">
        <v>0</v>
      </c>
      <c r="H218" s="14">
        <v>17098.7</v>
      </c>
      <c r="I218" s="14">
        <v>0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</row>
    <row r="219" spans="1:219" s="6" customFormat="1" x14ac:dyDescent="0.3">
      <c r="A219" s="47"/>
      <c r="B219" s="62"/>
      <c r="C219" s="38">
        <v>2023</v>
      </c>
      <c r="D219" s="14">
        <f t="shared" si="89"/>
        <v>5196.8999999999996</v>
      </c>
      <c r="E219" s="14">
        <v>0</v>
      </c>
      <c r="F219" s="14">
        <v>0</v>
      </c>
      <c r="G219" s="14">
        <v>0</v>
      </c>
      <c r="H219" s="14">
        <v>5196.8999999999996</v>
      </c>
      <c r="I219" s="14">
        <v>0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</row>
    <row r="220" spans="1:219" x14ac:dyDescent="0.3">
      <c r="A220" s="47"/>
      <c r="B220" s="62"/>
      <c r="C220" s="38">
        <v>2024</v>
      </c>
      <c r="D220" s="14">
        <f t="shared" si="89"/>
        <v>49770.400000000001</v>
      </c>
      <c r="E220" s="14">
        <v>0</v>
      </c>
      <c r="F220" s="14">
        <v>0</v>
      </c>
      <c r="G220" s="14">
        <v>0</v>
      </c>
      <c r="H220" s="14">
        <v>39770.400000000001</v>
      </c>
      <c r="I220" s="14">
        <v>10000</v>
      </c>
    </row>
    <row r="221" spans="1:219" x14ac:dyDescent="0.3">
      <c r="A221" s="48"/>
      <c r="B221" s="62"/>
      <c r="C221" s="38" t="s">
        <v>16</v>
      </c>
      <c r="D221" s="14">
        <f t="shared" ref="D221:I221" si="90">SUM(D218:D220)</f>
        <v>72066</v>
      </c>
      <c r="E221" s="14">
        <f t="shared" si="90"/>
        <v>0</v>
      </c>
      <c r="F221" s="14">
        <f t="shared" si="90"/>
        <v>0</v>
      </c>
      <c r="G221" s="14">
        <f t="shared" si="90"/>
        <v>0</v>
      </c>
      <c r="H221" s="14">
        <f t="shared" si="90"/>
        <v>62066</v>
      </c>
      <c r="I221" s="14">
        <f t="shared" si="90"/>
        <v>10000</v>
      </c>
    </row>
    <row r="222" spans="1:219" x14ac:dyDescent="0.3">
      <c r="A222" s="46" t="s">
        <v>37</v>
      </c>
      <c r="B222" s="62"/>
      <c r="C222" s="38">
        <v>2022</v>
      </c>
      <c r="D222" s="14">
        <f t="shared" ref="D222:D228" si="91">SUM(E222:I222)</f>
        <v>20168.8</v>
      </c>
      <c r="E222" s="14">
        <v>0</v>
      </c>
      <c r="F222" s="14">
        <v>0</v>
      </c>
      <c r="G222" s="14">
        <v>0</v>
      </c>
      <c r="H222" s="14">
        <v>20168.8</v>
      </c>
      <c r="I222" s="14">
        <v>0</v>
      </c>
    </row>
    <row r="223" spans="1:219" x14ac:dyDescent="0.3">
      <c r="A223" s="47"/>
      <c r="B223" s="62"/>
      <c r="C223" s="38">
        <v>2023</v>
      </c>
      <c r="D223" s="14">
        <f t="shared" si="91"/>
        <v>21829.200000000001</v>
      </c>
      <c r="E223" s="14">
        <v>0</v>
      </c>
      <c r="F223" s="14">
        <v>0</v>
      </c>
      <c r="G223" s="14">
        <v>0</v>
      </c>
      <c r="H223" s="14">
        <v>21829.200000000001</v>
      </c>
      <c r="I223" s="14">
        <v>0</v>
      </c>
    </row>
    <row r="224" spans="1:219" x14ac:dyDescent="0.3">
      <c r="A224" s="47"/>
      <c r="B224" s="62"/>
      <c r="C224" s="38">
        <v>2024</v>
      </c>
      <c r="D224" s="14">
        <f t="shared" si="91"/>
        <v>1303.7</v>
      </c>
      <c r="E224" s="14">
        <v>0</v>
      </c>
      <c r="F224" s="14">
        <v>0</v>
      </c>
      <c r="G224" s="14">
        <v>0</v>
      </c>
      <c r="H224" s="14">
        <v>1303.7</v>
      </c>
      <c r="I224" s="14">
        <v>0</v>
      </c>
    </row>
    <row r="225" spans="1:219" x14ac:dyDescent="0.3">
      <c r="A225" s="47"/>
      <c r="B225" s="62"/>
      <c r="C225" s="38">
        <v>2025</v>
      </c>
      <c r="D225" s="14">
        <f t="shared" si="91"/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</row>
    <row r="226" spans="1:219" x14ac:dyDescent="0.3">
      <c r="A226" s="47"/>
      <c r="B226" s="62"/>
      <c r="C226" s="38">
        <v>2026</v>
      </c>
      <c r="D226" s="14">
        <f t="shared" si="91"/>
        <v>4400</v>
      </c>
      <c r="E226" s="14">
        <v>0</v>
      </c>
      <c r="F226" s="14">
        <v>0</v>
      </c>
      <c r="G226" s="14">
        <v>0</v>
      </c>
      <c r="H226" s="14">
        <f>4400-4400+4400</f>
        <v>4400</v>
      </c>
      <c r="I226" s="14">
        <v>0</v>
      </c>
    </row>
    <row r="227" spans="1:219" x14ac:dyDescent="0.3">
      <c r="A227" s="47"/>
      <c r="B227" s="62"/>
      <c r="C227" s="38">
        <v>2027</v>
      </c>
      <c r="D227" s="14">
        <f t="shared" si="91"/>
        <v>0</v>
      </c>
      <c r="E227" s="14">
        <v>0</v>
      </c>
      <c r="F227" s="14">
        <v>0</v>
      </c>
      <c r="G227" s="14">
        <v>0</v>
      </c>
      <c r="H227" s="14">
        <f>4400-3929.6-470.4</f>
        <v>0</v>
      </c>
      <c r="I227" s="14">
        <v>0</v>
      </c>
    </row>
    <row r="228" spans="1:219" x14ac:dyDescent="0.3">
      <c r="A228" s="47"/>
      <c r="B228" s="62"/>
      <c r="C228" s="38">
        <v>2028</v>
      </c>
      <c r="D228" s="14">
        <f t="shared" si="91"/>
        <v>974.19999999999982</v>
      </c>
      <c r="E228" s="14">
        <v>0</v>
      </c>
      <c r="F228" s="14">
        <v>0</v>
      </c>
      <c r="G228" s="14">
        <v>0</v>
      </c>
      <c r="H228" s="14">
        <f>4400-3425.8</f>
        <v>974.19999999999982</v>
      </c>
      <c r="I228" s="14">
        <v>0</v>
      </c>
    </row>
    <row r="229" spans="1:219" x14ac:dyDescent="0.3">
      <c r="A229" s="48"/>
      <c r="B229" s="62"/>
      <c r="C229" s="38" t="s">
        <v>16</v>
      </c>
      <c r="D229" s="14">
        <f>SUM(D222:D228)</f>
        <v>48675.899999999994</v>
      </c>
      <c r="E229" s="14">
        <f t="shared" ref="E229:H229" si="92">SUM(E222:E228)</f>
        <v>0</v>
      </c>
      <c r="F229" s="14">
        <f t="shared" si="92"/>
        <v>0</v>
      </c>
      <c r="G229" s="14">
        <f t="shared" si="92"/>
        <v>0</v>
      </c>
      <c r="H229" s="14">
        <f t="shared" si="92"/>
        <v>48675.899999999994</v>
      </c>
      <c r="I229" s="14">
        <f>SUM(I222:I228)</f>
        <v>0</v>
      </c>
    </row>
    <row r="230" spans="1:219" ht="39.950000000000003" customHeight="1" x14ac:dyDescent="0.3">
      <c r="A230" s="63" t="s">
        <v>81</v>
      </c>
      <c r="B230" s="62"/>
      <c r="C230" s="38">
        <v>2022</v>
      </c>
      <c r="D230" s="14">
        <f t="shared" ref="D230:D232" si="93">SUM(E230:I230)</f>
        <v>3816.3</v>
      </c>
      <c r="E230" s="14">
        <v>0</v>
      </c>
      <c r="F230" s="14">
        <v>3164.1</v>
      </c>
      <c r="G230" s="14">
        <v>0</v>
      </c>
      <c r="H230" s="14">
        <v>652.20000000000005</v>
      </c>
      <c r="I230" s="14">
        <v>0</v>
      </c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</row>
    <row r="231" spans="1:219" ht="39.950000000000003" customHeight="1" x14ac:dyDescent="0.3">
      <c r="A231" s="64"/>
      <c r="B231" s="62"/>
      <c r="C231" s="38">
        <v>2023</v>
      </c>
      <c r="D231" s="14">
        <f t="shared" si="93"/>
        <v>3803.3999999999996</v>
      </c>
      <c r="E231" s="14">
        <v>0</v>
      </c>
      <c r="F231" s="14">
        <v>3151.2</v>
      </c>
      <c r="G231" s="14">
        <v>0</v>
      </c>
      <c r="H231" s="14">
        <v>652.20000000000005</v>
      </c>
      <c r="I231" s="14">
        <v>0</v>
      </c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</row>
    <row r="232" spans="1:219" ht="39.950000000000003" customHeight="1" x14ac:dyDescent="0.3">
      <c r="A232" s="64"/>
      <c r="B232" s="62"/>
      <c r="C232" s="38">
        <v>2024</v>
      </c>
      <c r="D232" s="14">
        <f t="shared" si="93"/>
        <v>3291.6</v>
      </c>
      <c r="E232" s="14">
        <v>0</v>
      </c>
      <c r="F232" s="14">
        <v>3061.2</v>
      </c>
      <c r="G232" s="14">
        <v>0</v>
      </c>
      <c r="H232" s="14">
        <v>230.4</v>
      </c>
      <c r="I232" s="14">
        <v>0</v>
      </c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</row>
    <row r="233" spans="1:219" ht="39.950000000000003" customHeight="1" x14ac:dyDescent="0.3">
      <c r="A233" s="64"/>
      <c r="B233" s="62"/>
      <c r="C233" s="38">
        <v>2025</v>
      </c>
      <c r="D233" s="14">
        <f>SUM(E233:I233)</f>
        <v>3251.7999999999997</v>
      </c>
      <c r="E233" s="14">
        <v>0</v>
      </c>
      <c r="F233" s="14">
        <v>3024.2</v>
      </c>
      <c r="G233" s="14">
        <v>227.6</v>
      </c>
      <c r="H233" s="14">
        <v>0</v>
      </c>
      <c r="I233" s="14">
        <v>0</v>
      </c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</row>
    <row r="234" spans="1:219" ht="39.950000000000003" customHeight="1" x14ac:dyDescent="0.3">
      <c r="A234" s="64"/>
      <c r="B234" s="62"/>
      <c r="C234" s="38">
        <v>2026</v>
      </c>
      <c r="D234" s="14">
        <f>SUM(E234:I234)</f>
        <v>3356.4</v>
      </c>
      <c r="E234" s="14">
        <v>0</v>
      </c>
      <c r="F234" s="14">
        <v>3054.3</v>
      </c>
      <c r="G234" s="14">
        <v>0</v>
      </c>
      <c r="H234" s="14">
        <v>302.10000000000002</v>
      </c>
      <c r="I234" s="14">
        <v>0</v>
      </c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</row>
    <row r="235" spans="1:219" ht="58.5" customHeight="1" x14ac:dyDescent="0.3">
      <c r="A235" s="65"/>
      <c r="B235" s="62"/>
      <c r="C235" s="38" t="s">
        <v>16</v>
      </c>
      <c r="D235" s="21">
        <f>SUM(D230:D234)</f>
        <v>17519.5</v>
      </c>
      <c r="E235" s="21">
        <f t="shared" ref="E235:I235" si="94">SUM(E230:E234)</f>
        <v>0</v>
      </c>
      <c r="F235" s="21">
        <f t="shared" si="94"/>
        <v>15455</v>
      </c>
      <c r="G235" s="21">
        <f t="shared" si="94"/>
        <v>227.6</v>
      </c>
      <c r="H235" s="21">
        <f t="shared" si="94"/>
        <v>1836.9</v>
      </c>
      <c r="I235" s="21">
        <f t="shared" si="94"/>
        <v>0</v>
      </c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</row>
    <row r="236" spans="1:219" s="6" customFormat="1" ht="34.5" customHeight="1" x14ac:dyDescent="0.3">
      <c r="A236" s="46" t="s">
        <v>82</v>
      </c>
      <c r="B236" s="62"/>
      <c r="C236" s="38">
        <v>2025</v>
      </c>
      <c r="D236" s="14">
        <f t="shared" ref="D236" si="95">SUM(E236:I236)</f>
        <v>141.19999999999999</v>
      </c>
      <c r="E236" s="14">
        <v>0</v>
      </c>
      <c r="F236" s="14">
        <v>0</v>
      </c>
      <c r="G236" s="14">
        <v>0</v>
      </c>
      <c r="H236" s="14">
        <v>141.19999999999999</v>
      </c>
      <c r="I236" s="14">
        <v>0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</row>
    <row r="237" spans="1:219" s="6" customFormat="1" ht="39.75" customHeight="1" x14ac:dyDescent="0.3">
      <c r="A237" s="47"/>
      <c r="B237" s="62"/>
      <c r="C237" s="38">
        <v>2026</v>
      </c>
      <c r="D237" s="14">
        <f>SUM(E237:I237)</f>
        <v>0</v>
      </c>
      <c r="E237" s="14">
        <v>0</v>
      </c>
      <c r="F237" s="14">
        <f>3054.3-3054.3</f>
        <v>0</v>
      </c>
      <c r="G237" s="14">
        <v>0</v>
      </c>
      <c r="H237" s="14">
        <f>302.1-302.1</f>
        <v>0</v>
      </c>
      <c r="I237" s="14">
        <v>0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</row>
    <row r="238" spans="1:219" ht="62.25" customHeight="1" x14ac:dyDescent="0.3">
      <c r="A238" s="48"/>
      <c r="B238" s="62"/>
      <c r="C238" s="38" t="s">
        <v>16</v>
      </c>
      <c r="D238" s="14">
        <f t="shared" ref="D238:H238" si="96">SUM(D236:D237)</f>
        <v>141.19999999999999</v>
      </c>
      <c r="E238" s="14">
        <f t="shared" si="96"/>
        <v>0</v>
      </c>
      <c r="F238" s="14">
        <f t="shared" si="96"/>
        <v>0</v>
      </c>
      <c r="G238" s="14">
        <f t="shared" si="96"/>
        <v>0</v>
      </c>
      <c r="H238" s="14">
        <f t="shared" si="96"/>
        <v>141.19999999999999</v>
      </c>
      <c r="I238" s="14">
        <f>SUM(I236:I237)</f>
        <v>0</v>
      </c>
    </row>
    <row r="239" spans="1:219" ht="18.75" customHeight="1" x14ac:dyDescent="0.3">
      <c r="A239" s="46" t="s">
        <v>38</v>
      </c>
      <c r="B239" s="62"/>
      <c r="C239" s="38">
        <v>2022</v>
      </c>
      <c r="D239" s="14">
        <f t="shared" ref="D239:D240" si="97">SUM(E239:I239)</f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</row>
    <row r="240" spans="1:219" x14ac:dyDescent="0.3">
      <c r="A240" s="47"/>
      <c r="B240" s="62"/>
      <c r="C240" s="38">
        <v>2023</v>
      </c>
      <c r="D240" s="14">
        <f t="shared" si="97"/>
        <v>3431</v>
      </c>
      <c r="E240" s="14">
        <v>0</v>
      </c>
      <c r="F240" s="14">
        <v>0</v>
      </c>
      <c r="G240" s="14">
        <v>0</v>
      </c>
      <c r="H240" s="14">
        <v>3431</v>
      </c>
      <c r="I240" s="14">
        <v>0</v>
      </c>
    </row>
    <row r="241" spans="1:219" s="6" customFormat="1" x14ac:dyDescent="0.3">
      <c r="A241" s="48"/>
      <c r="B241" s="62"/>
      <c r="C241" s="38" t="s">
        <v>16</v>
      </c>
      <c r="D241" s="14">
        <f t="shared" ref="D241:I241" si="98">SUM(D239:D240)</f>
        <v>3431</v>
      </c>
      <c r="E241" s="14">
        <f t="shared" si="98"/>
        <v>0</v>
      </c>
      <c r="F241" s="14">
        <f t="shared" si="98"/>
        <v>0</v>
      </c>
      <c r="G241" s="14">
        <f t="shared" si="98"/>
        <v>0</v>
      </c>
      <c r="H241" s="14">
        <f t="shared" si="98"/>
        <v>3431</v>
      </c>
      <c r="I241" s="14">
        <f t="shared" si="98"/>
        <v>0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</row>
    <row r="242" spans="1:219" s="6" customFormat="1" x14ac:dyDescent="0.3">
      <c r="A242" s="46" t="s">
        <v>65</v>
      </c>
      <c r="B242" s="62"/>
      <c r="C242" s="38">
        <v>2022</v>
      </c>
      <c r="D242" s="14">
        <f>SUM(E242:I242)</f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</row>
    <row r="243" spans="1:219" s="6" customFormat="1" x14ac:dyDescent="0.3">
      <c r="A243" s="47"/>
      <c r="B243" s="62"/>
      <c r="C243" s="38">
        <v>2023</v>
      </c>
      <c r="D243" s="14">
        <f>SUM(E243:I243)</f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</row>
    <row r="244" spans="1:219" s="6" customFormat="1" x14ac:dyDescent="0.3">
      <c r="A244" s="48"/>
      <c r="B244" s="62"/>
      <c r="C244" s="38" t="s">
        <v>16</v>
      </c>
      <c r="D244" s="14">
        <f>SUM(D242:D243)</f>
        <v>0</v>
      </c>
      <c r="E244" s="14">
        <f t="shared" ref="E244:I244" si="99">SUM(E242:E243)</f>
        <v>0</v>
      </c>
      <c r="F244" s="14">
        <f t="shared" si="99"/>
        <v>0</v>
      </c>
      <c r="G244" s="14">
        <f t="shared" si="99"/>
        <v>0</v>
      </c>
      <c r="H244" s="14">
        <f t="shared" si="99"/>
        <v>0</v>
      </c>
      <c r="I244" s="14">
        <f t="shared" si="99"/>
        <v>0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</row>
    <row r="245" spans="1:219" s="6" customFormat="1" ht="18.75" customHeight="1" x14ac:dyDescent="0.3">
      <c r="A245" s="46" t="s">
        <v>39</v>
      </c>
      <c r="B245" s="62"/>
      <c r="C245" s="38">
        <v>2022</v>
      </c>
      <c r="D245" s="14">
        <f t="shared" ref="D245:D246" si="100">SUM(E245:I245)</f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</row>
    <row r="246" spans="1:219" s="6" customFormat="1" x14ac:dyDescent="0.3">
      <c r="A246" s="47"/>
      <c r="B246" s="62"/>
      <c r="C246" s="38">
        <v>2023</v>
      </c>
      <c r="D246" s="14">
        <f t="shared" si="100"/>
        <v>1000</v>
      </c>
      <c r="E246" s="14">
        <v>0</v>
      </c>
      <c r="F246" s="14">
        <v>950</v>
      </c>
      <c r="G246" s="14">
        <v>0</v>
      </c>
      <c r="H246" s="14">
        <v>50</v>
      </c>
      <c r="I246" s="14">
        <v>0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</row>
    <row r="247" spans="1:219" s="6" customFormat="1" x14ac:dyDescent="0.3">
      <c r="A247" s="48"/>
      <c r="B247" s="62"/>
      <c r="C247" s="38" t="s">
        <v>16</v>
      </c>
      <c r="D247" s="14">
        <f t="shared" ref="D247:I247" si="101">SUM(D245:D246)</f>
        <v>1000</v>
      </c>
      <c r="E247" s="14">
        <f t="shared" si="101"/>
        <v>0</v>
      </c>
      <c r="F247" s="14">
        <f t="shared" si="101"/>
        <v>950</v>
      </c>
      <c r="G247" s="14">
        <f t="shared" si="101"/>
        <v>0</v>
      </c>
      <c r="H247" s="14">
        <f t="shared" si="101"/>
        <v>50</v>
      </c>
      <c r="I247" s="14">
        <f t="shared" si="101"/>
        <v>0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</row>
    <row r="248" spans="1:219" s="6" customFormat="1" ht="18.75" customHeight="1" x14ac:dyDescent="0.3">
      <c r="A248" s="46" t="s">
        <v>40</v>
      </c>
      <c r="B248" s="62"/>
      <c r="C248" s="38">
        <v>2022</v>
      </c>
      <c r="D248" s="14">
        <f t="shared" ref="D248:D249" si="102">SUM(E248:I248)</f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</row>
    <row r="249" spans="1:219" s="6" customFormat="1" x14ac:dyDescent="0.3">
      <c r="A249" s="47"/>
      <c r="B249" s="62"/>
      <c r="C249" s="38">
        <v>2023</v>
      </c>
      <c r="D249" s="14">
        <f t="shared" si="102"/>
        <v>560</v>
      </c>
      <c r="E249" s="14">
        <v>0</v>
      </c>
      <c r="F249" s="14">
        <v>0</v>
      </c>
      <c r="G249" s="14">
        <v>509.6</v>
      </c>
      <c r="H249" s="14">
        <v>50.4</v>
      </c>
      <c r="I249" s="14">
        <v>0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</row>
    <row r="250" spans="1:219" s="6" customFormat="1" ht="30.75" customHeight="1" x14ac:dyDescent="0.3">
      <c r="A250" s="48"/>
      <c r="B250" s="62"/>
      <c r="C250" s="38" t="s">
        <v>16</v>
      </c>
      <c r="D250" s="14">
        <f t="shared" ref="D250:I250" si="103">SUM(D248:D249)</f>
        <v>560</v>
      </c>
      <c r="E250" s="14">
        <f t="shared" si="103"/>
        <v>0</v>
      </c>
      <c r="F250" s="14">
        <f t="shared" si="103"/>
        <v>0</v>
      </c>
      <c r="G250" s="14">
        <f t="shared" si="103"/>
        <v>509.6</v>
      </c>
      <c r="H250" s="14">
        <f t="shared" si="103"/>
        <v>50.4</v>
      </c>
      <c r="I250" s="14">
        <f t="shared" si="103"/>
        <v>0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</row>
    <row r="251" spans="1:219" s="6" customFormat="1" x14ac:dyDescent="0.3">
      <c r="A251" s="46" t="s">
        <v>41</v>
      </c>
      <c r="B251" s="62"/>
      <c r="C251" s="38">
        <v>2022</v>
      </c>
      <c r="D251" s="14">
        <f t="shared" ref="D251:D254" si="104">SUM(E251:I251)</f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</row>
    <row r="252" spans="1:219" s="6" customFormat="1" x14ac:dyDescent="0.3">
      <c r="A252" s="47"/>
      <c r="B252" s="62"/>
      <c r="C252" s="38">
        <v>2023</v>
      </c>
      <c r="D252" s="14">
        <f t="shared" si="104"/>
        <v>5870.7</v>
      </c>
      <c r="E252" s="14">
        <v>0</v>
      </c>
      <c r="F252" s="14">
        <v>0</v>
      </c>
      <c r="G252" s="14">
        <v>5342.3</v>
      </c>
      <c r="H252" s="14">
        <v>528.4</v>
      </c>
      <c r="I252" s="14">
        <v>0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</row>
    <row r="253" spans="1:219" s="6" customFormat="1" x14ac:dyDescent="0.3">
      <c r="A253" s="47"/>
      <c r="B253" s="62"/>
      <c r="C253" s="38">
        <v>2024</v>
      </c>
      <c r="D253" s="14">
        <f t="shared" si="104"/>
        <v>73222.7</v>
      </c>
      <c r="E253" s="14">
        <v>0</v>
      </c>
      <c r="F253" s="14">
        <v>0</v>
      </c>
      <c r="G253" s="14">
        <v>67364.899999999994</v>
      </c>
      <c r="H253" s="14">
        <v>5857.8</v>
      </c>
      <c r="I253" s="14">
        <v>0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</row>
    <row r="254" spans="1:219" s="6" customFormat="1" x14ac:dyDescent="0.3">
      <c r="A254" s="47"/>
      <c r="B254" s="62"/>
      <c r="C254" s="38">
        <v>2025</v>
      </c>
      <c r="D254" s="14">
        <f t="shared" si="104"/>
        <v>24642.000000000004</v>
      </c>
      <c r="E254" s="14">
        <v>0</v>
      </c>
      <c r="F254" s="14">
        <v>0</v>
      </c>
      <c r="G254" s="14">
        <f>41127.3-19912.3</f>
        <v>21215.000000000004</v>
      </c>
      <c r="H254" s="14">
        <f>3576.5-149.5</f>
        <v>3427</v>
      </c>
      <c r="I254" s="14">
        <v>0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</row>
    <row r="255" spans="1:219" s="6" customFormat="1" x14ac:dyDescent="0.3">
      <c r="A255" s="47"/>
      <c r="B255" s="62"/>
      <c r="C255" s="38">
        <v>2026</v>
      </c>
      <c r="D255" s="14">
        <f>SUM(E255:I255)</f>
        <v>21328</v>
      </c>
      <c r="E255" s="14">
        <v>0</v>
      </c>
      <c r="F255" s="14">
        <v>0</v>
      </c>
      <c r="G255" s="14">
        <v>19621.7</v>
      </c>
      <c r="H255" s="14">
        <v>1706.3</v>
      </c>
      <c r="I255" s="14">
        <v>0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</row>
    <row r="256" spans="1:219" s="6" customFormat="1" x14ac:dyDescent="0.3">
      <c r="A256" s="48"/>
      <c r="B256" s="62"/>
      <c r="C256" s="38" t="s">
        <v>16</v>
      </c>
      <c r="D256" s="14">
        <f>SUM(D251:D255)</f>
        <v>125063.4</v>
      </c>
      <c r="E256" s="14">
        <f t="shared" ref="E256:H256" si="105">SUM(E251:E255)</f>
        <v>0</v>
      </c>
      <c r="F256" s="14">
        <f t="shared" si="105"/>
        <v>0</v>
      </c>
      <c r="G256" s="14">
        <f t="shared" si="105"/>
        <v>113543.9</v>
      </c>
      <c r="H256" s="14">
        <f t="shared" si="105"/>
        <v>11519.5</v>
      </c>
      <c r="I256" s="14">
        <f>SUM(I251:I255)</f>
        <v>0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</row>
    <row r="257" spans="1:219" s="6" customFormat="1" ht="18.75" customHeight="1" x14ac:dyDescent="0.3">
      <c r="A257" s="46" t="s">
        <v>42</v>
      </c>
      <c r="B257" s="62"/>
      <c r="C257" s="38">
        <v>2022</v>
      </c>
      <c r="D257" s="14">
        <f t="shared" ref="D257:D260" si="106">SUM(E257:I257)</f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</row>
    <row r="258" spans="1:219" s="6" customFormat="1" x14ac:dyDescent="0.3">
      <c r="A258" s="47"/>
      <c r="B258" s="62"/>
      <c r="C258" s="38">
        <v>2023</v>
      </c>
      <c r="D258" s="14">
        <f t="shared" si="106"/>
        <v>6289</v>
      </c>
      <c r="E258" s="14">
        <v>0</v>
      </c>
      <c r="F258" s="14">
        <v>0</v>
      </c>
      <c r="G258" s="14">
        <v>6289</v>
      </c>
      <c r="H258" s="14">
        <v>0</v>
      </c>
      <c r="I258" s="14">
        <v>0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</row>
    <row r="259" spans="1:219" s="6" customFormat="1" x14ac:dyDescent="0.3">
      <c r="A259" s="47"/>
      <c r="B259" s="62"/>
      <c r="C259" s="38">
        <v>2024</v>
      </c>
      <c r="D259" s="14">
        <f t="shared" si="106"/>
        <v>8888.7999999999993</v>
      </c>
      <c r="E259" s="14">
        <v>0</v>
      </c>
      <c r="F259" s="14">
        <v>0</v>
      </c>
      <c r="G259" s="14">
        <v>8888.7999999999993</v>
      </c>
      <c r="H259" s="14">
        <v>0</v>
      </c>
      <c r="I259" s="14">
        <v>0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</row>
    <row r="260" spans="1:219" s="6" customFormat="1" ht="18" customHeight="1" x14ac:dyDescent="0.3">
      <c r="A260" s="47"/>
      <c r="B260" s="62"/>
      <c r="C260" s="38">
        <v>2025</v>
      </c>
      <c r="D260" s="14">
        <f t="shared" si="106"/>
        <v>5994.2999999999993</v>
      </c>
      <c r="E260" s="14">
        <v>0</v>
      </c>
      <c r="F260" s="14">
        <v>0</v>
      </c>
      <c r="G260" s="14">
        <f>5994.4-0.1</f>
        <v>5994.2999999999993</v>
      </c>
      <c r="H260" s="14">
        <v>0</v>
      </c>
      <c r="I260" s="14">
        <v>0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</row>
    <row r="261" spans="1:219" s="6" customFormat="1" x14ac:dyDescent="0.3">
      <c r="A261" s="48"/>
      <c r="B261" s="62"/>
      <c r="C261" s="38" t="s">
        <v>16</v>
      </c>
      <c r="D261" s="14">
        <f t="shared" ref="D261:I261" si="107">SUM(D257:D260)</f>
        <v>21172.1</v>
      </c>
      <c r="E261" s="14">
        <f t="shared" si="107"/>
        <v>0</v>
      </c>
      <c r="F261" s="14">
        <f t="shared" si="107"/>
        <v>0</v>
      </c>
      <c r="G261" s="14">
        <f t="shared" si="107"/>
        <v>21172.1</v>
      </c>
      <c r="H261" s="14">
        <f t="shared" si="107"/>
        <v>0</v>
      </c>
      <c r="I261" s="14">
        <f t="shared" si="107"/>
        <v>0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</row>
    <row r="262" spans="1:219" s="6" customFormat="1" ht="36" customHeight="1" x14ac:dyDescent="0.3">
      <c r="A262" s="46" t="s">
        <v>83</v>
      </c>
      <c r="B262" s="62"/>
      <c r="C262" s="38">
        <v>2025</v>
      </c>
      <c r="D262" s="14">
        <f t="shared" ref="D262" si="108">SUM(E262:I262)</f>
        <v>0</v>
      </c>
      <c r="E262" s="14">
        <v>0</v>
      </c>
      <c r="F262" s="14">
        <v>0</v>
      </c>
      <c r="G262" s="14">
        <f>698.4-698.4</f>
        <v>0</v>
      </c>
      <c r="H262" s="14">
        <v>0</v>
      </c>
      <c r="I262" s="14">
        <v>0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</row>
    <row r="263" spans="1:219" s="6" customFormat="1" ht="36" customHeight="1" x14ac:dyDescent="0.3">
      <c r="A263" s="47"/>
      <c r="B263" s="62"/>
      <c r="C263" s="38">
        <v>2026</v>
      </c>
      <c r="D263" s="14">
        <f>SUM(E263:I263)</f>
        <v>1.7340000000000001E-2</v>
      </c>
      <c r="E263" s="14">
        <v>0</v>
      </c>
      <c r="F263" s="14">
        <v>0</v>
      </c>
      <c r="G263" s="14">
        <f>0+0.01734</f>
        <v>1.7340000000000001E-2</v>
      </c>
      <c r="H263" s="14">
        <v>0</v>
      </c>
      <c r="I263" s="14">
        <v>0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</row>
    <row r="264" spans="1:219" ht="38.25" customHeight="1" x14ac:dyDescent="0.3">
      <c r="A264" s="48"/>
      <c r="B264" s="62"/>
      <c r="C264" s="38" t="s">
        <v>16</v>
      </c>
      <c r="D264" s="14">
        <f t="shared" ref="D264:H264" si="109">SUM(D262:D263)</f>
        <v>1.7340000000000001E-2</v>
      </c>
      <c r="E264" s="14">
        <f t="shared" si="109"/>
        <v>0</v>
      </c>
      <c r="F264" s="14">
        <f t="shared" si="109"/>
        <v>0</v>
      </c>
      <c r="G264" s="14">
        <f t="shared" si="109"/>
        <v>1.7340000000000001E-2</v>
      </c>
      <c r="H264" s="14">
        <f t="shared" si="109"/>
        <v>0</v>
      </c>
      <c r="I264" s="14">
        <f>SUM(I262:I263)</f>
        <v>0</v>
      </c>
    </row>
    <row r="265" spans="1:219" s="6" customFormat="1" ht="49.5" customHeight="1" x14ac:dyDescent="0.3">
      <c r="A265" s="46" t="s">
        <v>87</v>
      </c>
      <c r="B265" s="62"/>
      <c r="C265" s="38">
        <v>2025</v>
      </c>
      <c r="D265" s="14">
        <f t="shared" ref="D265" si="110">SUM(E265:I265)</f>
        <v>2224.4</v>
      </c>
      <c r="E265" s="14">
        <v>0</v>
      </c>
      <c r="F265" s="14">
        <v>0</v>
      </c>
      <c r="G265" s="14">
        <f>698.4-698.4</f>
        <v>0</v>
      </c>
      <c r="H265" s="14">
        <v>2224.4</v>
      </c>
      <c r="I265" s="14">
        <v>0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</row>
    <row r="266" spans="1:219" ht="50.25" customHeight="1" x14ac:dyDescent="0.3">
      <c r="A266" s="48"/>
      <c r="B266" s="62"/>
      <c r="C266" s="38" t="s">
        <v>16</v>
      </c>
      <c r="D266" s="14">
        <f t="shared" ref="D266:I266" si="111">SUM(D265:D265)</f>
        <v>2224.4</v>
      </c>
      <c r="E266" s="14">
        <f t="shared" si="111"/>
        <v>0</v>
      </c>
      <c r="F266" s="14">
        <f t="shared" si="111"/>
        <v>0</v>
      </c>
      <c r="G266" s="14">
        <f t="shared" si="111"/>
        <v>0</v>
      </c>
      <c r="H266" s="14">
        <f t="shared" si="111"/>
        <v>2224.4</v>
      </c>
      <c r="I266" s="14">
        <f t="shared" si="111"/>
        <v>0</v>
      </c>
    </row>
    <row r="267" spans="1:219" s="6" customFormat="1" ht="23.25" customHeight="1" x14ac:dyDescent="0.3">
      <c r="A267" s="46" t="s">
        <v>100</v>
      </c>
      <c r="B267" s="62"/>
      <c r="C267" s="38">
        <v>2026</v>
      </c>
      <c r="D267" s="14">
        <f t="shared" ref="D267" si="112">SUM(E267:I267)</f>
        <v>130</v>
      </c>
      <c r="E267" s="14">
        <v>0</v>
      </c>
      <c r="F267" s="14">
        <v>0</v>
      </c>
      <c r="G267" s="14">
        <f>698.4-698.4</f>
        <v>0</v>
      </c>
      <c r="H267" s="14">
        <f>0+130</f>
        <v>130</v>
      </c>
      <c r="I267" s="14">
        <v>0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</row>
    <row r="268" spans="1:219" ht="26.25" customHeight="1" x14ac:dyDescent="0.3">
      <c r="A268" s="48"/>
      <c r="B268" s="62"/>
      <c r="C268" s="38" t="s">
        <v>16</v>
      </c>
      <c r="D268" s="14">
        <f t="shared" ref="D268:I268" si="113">SUM(D267:D267)</f>
        <v>130</v>
      </c>
      <c r="E268" s="14">
        <f t="shared" si="113"/>
        <v>0</v>
      </c>
      <c r="F268" s="14">
        <f t="shared" si="113"/>
        <v>0</v>
      </c>
      <c r="G268" s="14">
        <f t="shared" si="113"/>
        <v>0</v>
      </c>
      <c r="H268" s="14">
        <f t="shared" si="113"/>
        <v>130</v>
      </c>
      <c r="I268" s="14">
        <f t="shared" si="113"/>
        <v>0</v>
      </c>
    </row>
    <row r="269" spans="1:219" s="6" customFormat="1" x14ac:dyDescent="0.3">
      <c r="A269" s="67" t="s">
        <v>71</v>
      </c>
      <c r="B269" s="68"/>
      <c r="C269" s="68"/>
      <c r="D269" s="68"/>
      <c r="E269" s="68"/>
      <c r="F269" s="68"/>
      <c r="G269" s="68"/>
      <c r="H269" s="68"/>
      <c r="I269" s="69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</row>
    <row r="270" spans="1:219" s="6" customFormat="1" x14ac:dyDescent="0.3">
      <c r="A270" s="52" t="s">
        <v>16</v>
      </c>
      <c r="B270" s="43"/>
      <c r="C270" s="37">
        <v>2022</v>
      </c>
      <c r="D270" s="15">
        <f t="shared" ref="D270:I271" si="114">D278+D286</f>
        <v>9887.1</v>
      </c>
      <c r="E270" s="15">
        <f t="shared" si="114"/>
        <v>0</v>
      </c>
      <c r="F270" s="15">
        <f t="shared" si="114"/>
        <v>0</v>
      </c>
      <c r="G270" s="15">
        <f t="shared" si="114"/>
        <v>0</v>
      </c>
      <c r="H270" s="15">
        <f t="shared" si="114"/>
        <v>9887.1</v>
      </c>
      <c r="I270" s="15">
        <f t="shared" si="114"/>
        <v>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</row>
    <row r="271" spans="1:219" s="6" customFormat="1" x14ac:dyDescent="0.3">
      <c r="A271" s="53"/>
      <c r="B271" s="70"/>
      <c r="C271" s="37">
        <v>2023</v>
      </c>
      <c r="D271" s="15">
        <f t="shared" si="114"/>
        <v>9388.4</v>
      </c>
      <c r="E271" s="15">
        <f t="shared" si="114"/>
        <v>0</v>
      </c>
      <c r="F271" s="15">
        <f t="shared" si="114"/>
        <v>0</v>
      </c>
      <c r="G271" s="15">
        <f t="shared" si="114"/>
        <v>628.5</v>
      </c>
      <c r="H271" s="15">
        <f t="shared" si="114"/>
        <v>8759.9</v>
      </c>
      <c r="I271" s="15">
        <f t="shared" si="114"/>
        <v>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</row>
    <row r="272" spans="1:219" s="6" customFormat="1" x14ac:dyDescent="0.3">
      <c r="A272" s="53"/>
      <c r="B272" s="70"/>
      <c r="C272" s="37">
        <v>2024</v>
      </c>
      <c r="D272" s="15">
        <f>SUM(E272:I272)</f>
        <v>6247.3</v>
      </c>
      <c r="E272" s="15">
        <f t="shared" ref="E272:I272" si="115">E280</f>
        <v>0</v>
      </c>
      <c r="F272" s="15">
        <f t="shared" si="115"/>
        <v>0</v>
      </c>
      <c r="G272" s="15">
        <f t="shared" si="115"/>
        <v>0</v>
      </c>
      <c r="H272" s="15">
        <f t="shared" si="115"/>
        <v>6247.3</v>
      </c>
      <c r="I272" s="15">
        <f t="shared" si="115"/>
        <v>0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</row>
    <row r="273" spans="1:219" s="6" customFormat="1" x14ac:dyDescent="0.3">
      <c r="A273" s="53"/>
      <c r="B273" s="70"/>
      <c r="C273" s="37">
        <v>2025</v>
      </c>
      <c r="D273" s="15">
        <f>SUM(E273:I273)</f>
        <v>9621.1999999999989</v>
      </c>
      <c r="E273" s="15">
        <f t="shared" ref="E273:I275" si="116">E281+E289</f>
        <v>0</v>
      </c>
      <c r="F273" s="15">
        <f t="shared" si="116"/>
        <v>0</v>
      </c>
      <c r="G273" s="15">
        <f t="shared" si="116"/>
        <v>0</v>
      </c>
      <c r="H273" s="15">
        <f t="shared" si="116"/>
        <v>9621.1999999999989</v>
      </c>
      <c r="I273" s="15">
        <f t="shared" si="116"/>
        <v>0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</row>
    <row r="274" spans="1:219" s="6" customFormat="1" x14ac:dyDescent="0.3">
      <c r="A274" s="53"/>
      <c r="B274" s="70"/>
      <c r="C274" s="37">
        <v>2026</v>
      </c>
      <c r="D274" s="15">
        <f>SUM(E274:I274)</f>
        <v>13720.9</v>
      </c>
      <c r="E274" s="15">
        <f t="shared" si="116"/>
        <v>0</v>
      </c>
      <c r="F274" s="15">
        <f t="shared" si="116"/>
        <v>0</v>
      </c>
      <c r="G274" s="15">
        <f t="shared" si="116"/>
        <v>0</v>
      </c>
      <c r="H274" s="15">
        <f t="shared" si="116"/>
        <v>13720.9</v>
      </c>
      <c r="I274" s="15">
        <f t="shared" si="116"/>
        <v>0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</row>
    <row r="275" spans="1:219" s="6" customFormat="1" x14ac:dyDescent="0.3">
      <c r="A275" s="53"/>
      <c r="B275" s="70"/>
      <c r="C275" s="37">
        <v>2027</v>
      </c>
      <c r="D275" s="15">
        <f>SUM(E275:I275)</f>
        <v>12394.2</v>
      </c>
      <c r="E275" s="15">
        <f t="shared" si="116"/>
        <v>0</v>
      </c>
      <c r="F275" s="15">
        <f t="shared" si="116"/>
        <v>0</v>
      </c>
      <c r="G275" s="15">
        <f t="shared" si="116"/>
        <v>0</v>
      </c>
      <c r="H275" s="15">
        <f t="shared" si="116"/>
        <v>12394.2</v>
      </c>
      <c r="I275" s="15">
        <f t="shared" si="116"/>
        <v>0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</row>
    <row r="276" spans="1:219" s="6" customFormat="1" x14ac:dyDescent="0.3">
      <c r="A276" s="53"/>
      <c r="B276" s="70"/>
      <c r="C276" s="37">
        <v>2028</v>
      </c>
      <c r="D276" s="15">
        <f>SUM(E276:I276)</f>
        <v>24915.1</v>
      </c>
      <c r="E276" s="15">
        <f t="shared" ref="E276:H276" si="117">E284</f>
        <v>0</v>
      </c>
      <c r="F276" s="15">
        <f t="shared" si="117"/>
        <v>0</v>
      </c>
      <c r="G276" s="15">
        <f t="shared" si="117"/>
        <v>0</v>
      </c>
      <c r="H276" s="15">
        <f t="shared" si="117"/>
        <v>24915.1</v>
      </c>
      <c r="I276" s="15">
        <f>I284</f>
        <v>0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</row>
    <row r="277" spans="1:219" s="6" customFormat="1" x14ac:dyDescent="0.3">
      <c r="A277" s="54"/>
      <c r="B277" s="44"/>
      <c r="C277" s="37" t="s">
        <v>16</v>
      </c>
      <c r="D277" s="15">
        <f>SUM(D270:D276)</f>
        <v>86174.200000000012</v>
      </c>
      <c r="E277" s="15">
        <f t="shared" ref="E277:H277" si="118">SUM(E270:E276)</f>
        <v>0</v>
      </c>
      <c r="F277" s="15">
        <f t="shared" si="118"/>
        <v>0</v>
      </c>
      <c r="G277" s="15">
        <f t="shared" si="118"/>
        <v>628.5</v>
      </c>
      <c r="H277" s="15">
        <f t="shared" si="118"/>
        <v>85545.700000000012</v>
      </c>
      <c r="I277" s="15">
        <f>SUM(I270:I276)</f>
        <v>0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</row>
    <row r="278" spans="1:219" s="6" customFormat="1" x14ac:dyDescent="0.3">
      <c r="A278" s="46" t="s">
        <v>43</v>
      </c>
      <c r="B278" s="62"/>
      <c r="C278" s="38">
        <v>2022</v>
      </c>
      <c r="D278" s="14">
        <f t="shared" ref="D278:D283" si="119">SUM(E278:I278)</f>
        <v>9887.1</v>
      </c>
      <c r="E278" s="14">
        <v>0</v>
      </c>
      <c r="F278" s="14">
        <v>0</v>
      </c>
      <c r="G278" s="14">
        <v>0</v>
      </c>
      <c r="H278" s="14">
        <v>9887.1</v>
      </c>
      <c r="I278" s="14">
        <v>0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</row>
    <row r="279" spans="1:219" s="6" customFormat="1" x14ac:dyDescent="0.3">
      <c r="A279" s="47"/>
      <c r="B279" s="62"/>
      <c r="C279" s="38">
        <v>2023</v>
      </c>
      <c r="D279" s="14">
        <f t="shared" si="119"/>
        <v>8685.5</v>
      </c>
      <c r="E279" s="14">
        <v>0</v>
      </c>
      <c r="F279" s="14">
        <v>0</v>
      </c>
      <c r="G279" s="14">
        <v>0</v>
      </c>
      <c r="H279" s="14">
        <v>8685.5</v>
      </c>
      <c r="I279" s="14">
        <v>0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</row>
    <row r="280" spans="1:219" s="6" customFormat="1" x14ac:dyDescent="0.3">
      <c r="A280" s="47"/>
      <c r="B280" s="62"/>
      <c r="C280" s="38">
        <v>2024</v>
      </c>
      <c r="D280" s="14">
        <f t="shared" si="119"/>
        <v>6247.3</v>
      </c>
      <c r="E280" s="14">
        <v>0</v>
      </c>
      <c r="F280" s="14">
        <v>0</v>
      </c>
      <c r="G280" s="14">
        <v>0</v>
      </c>
      <c r="H280" s="14">
        <v>6247.3</v>
      </c>
      <c r="I280" s="14">
        <v>0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</row>
    <row r="281" spans="1:219" s="6" customFormat="1" x14ac:dyDescent="0.3">
      <c r="A281" s="47"/>
      <c r="B281" s="62"/>
      <c r="C281" s="38">
        <v>2025</v>
      </c>
      <c r="D281" s="14">
        <f t="shared" si="119"/>
        <v>9578.7999999999993</v>
      </c>
      <c r="E281" s="14">
        <v>0</v>
      </c>
      <c r="F281" s="14">
        <v>0</v>
      </c>
      <c r="G281" s="14">
        <v>0</v>
      </c>
      <c r="H281" s="14">
        <f>8958.8+611+9</f>
        <v>9578.7999999999993</v>
      </c>
      <c r="I281" s="14">
        <v>0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</row>
    <row r="282" spans="1:219" s="6" customFormat="1" x14ac:dyDescent="0.3">
      <c r="A282" s="47"/>
      <c r="B282" s="62"/>
      <c r="C282" s="38">
        <v>2026</v>
      </c>
      <c r="D282" s="14">
        <f>SUM(E282:I282)</f>
        <v>13623.8</v>
      </c>
      <c r="E282" s="14">
        <v>0</v>
      </c>
      <c r="F282" s="14">
        <v>0</v>
      </c>
      <c r="G282" s="14">
        <v>0</v>
      </c>
      <c r="H282" s="14">
        <f>7223.8+6400</f>
        <v>13623.8</v>
      </c>
      <c r="I282" s="14">
        <v>0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</row>
    <row r="283" spans="1:219" s="6" customFormat="1" x14ac:dyDescent="0.3">
      <c r="A283" s="47"/>
      <c r="B283" s="62"/>
      <c r="C283" s="38">
        <v>2027</v>
      </c>
      <c r="D283" s="14">
        <f t="shared" si="119"/>
        <v>12297.1</v>
      </c>
      <c r="E283" s="14">
        <v>0</v>
      </c>
      <c r="F283" s="14">
        <v>0</v>
      </c>
      <c r="G283" s="14">
        <v>0</v>
      </c>
      <c r="H283" s="14">
        <v>12297.1</v>
      </c>
      <c r="I283" s="14">
        <v>0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</row>
    <row r="284" spans="1:219" s="6" customFormat="1" x14ac:dyDescent="0.3">
      <c r="A284" s="47"/>
      <c r="B284" s="62"/>
      <c r="C284" s="38">
        <v>2028</v>
      </c>
      <c r="D284" s="14">
        <f>SUM(E284:I284)</f>
        <v>24915.1</v>
      </c>
      <c r="E284" s="14">
        <v>0</v>
      </c>
      <c r="F284" s="14">
        <v>0</v>
      </c>
      <c r="G284" s="14">
        <v>0</v>
      </c>
      <c r="H284" s="14">
        <v>24915.1</v>
      </c>
      <c r="I284" s="14">
        <v>0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</row>
    <row r="285" spans="1:219" s="6" customFormat="1" x14ac:dyDescent="0.3">
      <c r="A285" s="48"/>
      <c r="B285" s="62"/>
      <c r="C285" s="38" t="s">
        <v>16</v>
      </c>
      <c r="D285" s="14">
        <f>SUM(D278:D284)</f>
        <v>85234.7</v>
      </c>
      <c r="E285" s="14">
        <f t="shared" ref="E285:H285" si="120">SUM(E278:E284)</f>
        <v>0</v>
      </c>
      <c r="F285" s="14">
        <f t="shared" si="120"/>
        <v>0</v>
      </c>
      <c r="G285" s="14">
        <f t="shared" si="120"/>
        <v>0</v>
      </c>
      <c r="H285" s="14">
        <f t="shared" si="120"/>
        <v>85234.7</v>
      </c>
      <c r="I285" s="14">
        <f>SUM(I278:I284)</f>
        <v>0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</row>
    <row r="286" spans="1:219" s="6" customFormat="1" x14ac:dyDescent="0.3">
      <c r="A286" s="46" t="s">
        <v>44</v>
      </c>
      <c r="B286" s="62"/>
      <c r="C286" s="38">
        <v>2022</v>
      </c>
      <c r="D286" s="14">
        <f>SUM(E286:I286)</f>
        <v>0</v>
      </c>
      <c r="E286" s="14">
        <v>0</v>
      </c>
      <c r="F286" s="14">
        <v>0</v>
      </c>
      <c r="G286" s="14">
        <v>0</v>
      </c>
      <c r="H286" s="14">
        <v>0</v>
      </c>
      <c r="I286" s="14">
        <v>0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</row>
    <row r="287" spans="1:219" s="6" customFormat="1" x14ac:dyDescent="0.3">
      <c r="A287" s="47"/>
      <c r="B287" s="62"/>
      <c r="C287" s="38">
        <v>2023</v>
      </c>
      <c r="D287" s="14">
        <f>SUM(E287:I287)</f>
        <v>702.9</v>
      </c>
      <c r="E287" s="14">
        <v>0</v>
      </c>
      <c r="F287" s="14">
        <v>0</v>
      </c>
      <c r="G287" s="14">
        <v>628.5</v>
      </c>
      <c r="H287" s="14">
        <v>74.400000000000006</v>
      </c>
      <c r="I287" s="14">
        <v>0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</row>
    <row r="288" spans="1:219" s="6" customFormat="1" x14ac:dyDescent="0.3">
      <c r="A288" s="48"/>
      <c r="B288" s="62"/>
      <c r="C288" s="38" t="s">
        <v>16</v>
      </c>
      <c r="D288" s="14">
        <f t="shared" ref="D288:H288" si="121">SUM(D286:D287)</f>
        <v>702.9</v>
      </c>
      <c r="E288" s="14">
        <f t="shared" si="121"/>
        <v>0</v>
      </c>
      <c r="F288" s="14">
        <f t="shared" si="121"/>
        <v>0</v>
      </c>
      <c r="G288" s="14">
        <f t="shared" si="121"/>
        <v>628.5</v>
      </c>
      <c r="H288" s="14">
        <f t="shared" si="121"/>
        <v>74.400000000000006</v>
      </c>
      <c r="I288" s="14">
        <f>SUM(I286:I287)</f>
        <v>0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</row>
    <row r="289" spans="1:219" s="6" customFormat="1" x14ac:dyDescent="0.3">
      <c r="A289" s="46" t="s">
        <v>93</v>
      </c>
      <c r="B289" s="62"/>
      <c r="C289" s="38">
        <v>2025</v>
      </c>
      <c r="D289" s="14">
        <f>SUM(E289:I289)</f>
        <v>42.4</v>
      </c>
      <c r="E289" s="14">
        <v>0</v>
      </c>
      <c r="F289" s="14">
        <v>0</v>
      </c>
      <c r="G289" s="14">
        <v>0</v>
      </c>
      <c r="H289" s="14">
        <v>42.4</v>
      </c>
      <c r="I289" s="14">
        <v>0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</row>
    <row r="290" spans="1:219" s="6" customFormat="1" x14ac:dyDescent="0.3">
      <c r="A290" s="47"/>
      <c r="B290" s="62"/>
      <c r="C290" s="38">
        <v>2026</v>
      </c>
      <c r="D290" s="14">
        <f t="shared" ref="D290" si="122">SUM(E290:I290)</f>
        <v>97.1</v>
      </c>
      <c r="E290" s="14">
        <v>0</v>
      </c>
      <c r="F290" s="14">
        <v>0</v>
      </c>
      <c r="G290" s="14">
        <v>0</v>
      </c>
      <c r="H290" s="14">
        <v>97.1</v>
      </c>
      <c r="I290" s="14">
        <v>0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</row>
    <row r="291" spans="1:219" s="6" customFormat="1" x14ac:dyDescent="0.3">
      <c r="A291" s="47"/>
      <c r="B291" s="62"/>
      <c r="C291" s="38">
        <v>2027</v>
      </c>
      <c r="D291" s="14">
        <f>SUM(E291:I291)</f>
        <v>97.1</v>
      </c>
      <c r="E291" s="14">
        <v>0</v>
      </c>
      <c r="F291" s="14">
        <v>0</v>
      </c>
      <c r="G291" s="14">
        <v>0</v>
      </c>
      <c r="H291" s="14">
        <v>97.1</v>
      </c>
      <c r="I291" s="14">
        <v>0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</row>
    <row r="292" spans="1:219" s="6" customFormat="1" x14ac:dyDescent="0.3">
      <c r="A292" s="48"/>
      <c r="B292" s="62"/>
      <c r="C292" s="38" t="s">
        <v>16</v>
      </c>
      <c r="D292" s="14">
        <f t="shared" ref="D292:H292" si="123">SUM(D289:D291)</f>
        <v>236.6</v>
      </c>
      <c r="E292" s="14">
        <f t="shared" si="123"/>
        <v>0</v>
      </c>
      <c r="F292" s="14">
        <f t="shared" si="123"/>
        <v>0</v>
      </c>
      <c r="G292" s="14">
        <f t="shared" si="123"/>
        <v>0</v>
      </c>
      <c r="H292" s="14">
        <f t="shared" si="123"/>
        <v>236.6</v>
      </c>
      <c r="I292" s="14">
        <f>SUM(I289:I291)</f>
        <v>0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</row>
    <row r="293" spans="1:219" s="6" customFormat="1" x14ac:dyDescent="0.3">
      <c r="A293" s="39" t="s">
        <v>72</v>
      </c>
      <c r="B293" s="16"/>
      <c r="C293" s="17"/>
      <c r="D293" s="18"/>
      <c r="E293" s="19"/>
      <c r="F293" s="19"/>
      <c r="G293" s="19"/>
      <c r="H293" s="19"/>
      <c r="I293" s="20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</row>
    <row r="294" spans="1:219" s="6" customFormat="1" x14ac:dyDescent="0.3">
      <c r="A294" s="55" t="s">
        <v>16</v>
      </c>
      <c r="B294" s="45"/>
      <c r="C294" s="37">
        <v>2022</v>
      </c>
      <c r="D294" s="22">
        <f t="shared" ref="D294:I300" si="124">D302</f>
        <v>175.5</v>
      </c>
      <c r="E294" s="22">
        <f t="shared" si="124"/>
        <v>0</v>
      </c>
      <c r="F294" s="22">
        <f t="shared" si="124"/>
        <v>0</v>
      </c>
      <c r="G294" s="22">
        <f t="shared" si="124"/>
        <v>0</v>
      </c>
      <c r="H294" s="22">
        <f t="shared" si="124"/>
        <v>175.5</v>
      </c>
      <c r="I294" s="22">
        <f t="shared" si="124"/>
        <v>0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</row>
    <row r="295" spans="1:219" s="6" customFormat="1" x14ac:dyDescent="0.3">
      <c r="A295" s="55"/>
      <c r="B295" s="45"/>
      <c r="C295" s="37">
        <v>2023</v>
      </c>
      <c r="D295" s="22">
        <f t="shared" si="124"/>
        <v>167</v>
      </c>
      <c r="E295" s="22">
        <f t="shared" si="124"/>
        <v>0</v>
      </c>
      <c r="F295" s="22">
        <f t="shared" si="124"/>
        <v>0</v>
      </c>
      <c r="G295" s="22">
        <f t="shared" si="124"/>
        <v>0</v>
      </c>
      <c r="H295" s="22">
        <f t="shared" si="124"/>
        <v>167</v>
      </c>
      <c r="I295" s="22">
        <f t="shared" si="124"/>
        <v>0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</row>
    <row r="296" spans="1:219" s="6" customFormat="1" x14ac:dyDescent="0.3">
      <c r="A296" s="55"/>
      <c r="B296" s="45"/>
      <c r="C296" s="37">
        <v>2024</v>
      </c>
      <c r="D296" s="22">
        <f t="shared" si="124"/>
        <v>227</v>
      </c>
      <c r="E296" s="22">
        <f t="shared" si="124"/>
        <v>0</v>
      </c>
      <c r="F296" s="22">
        <f t="shared" si="124"/>
        <v>0</v>
      </c>
      <c r="G296" s="22">
        <f t="shared" si="124"/>
        <v>0</v>
      </c>
      <c r="H296" s="22">
        <f t="shared" si="124"/>
        <v>227</v>
      </c>
      <c r="I296" s="22">
        <f t="shared" si="124"/>
        <v>0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</row>
    <row r="297" spans="1:219" s="6" customFormat="1" x14ac:dyDescent="0.3">
      <c r="A297" s="55"/>
      <c r="B297" s="45"/>
      <c r="C297" s="37">
        <v>2025</v>
      </c>
      <c r="D297" s="22">
        <f t="shared" si="124"/>
        <v>221.6</v>
      </c>
      <c r="E297" s="22">
        <f t="shared" si="124"/>
        <v>0</v>
      </c>
      <c r="F297" s="22">
        <f t="shared" si="124"/>
        <v>0</v>
      </c>
      <c r="G297" s="22">
        <f t="shared" si="124"/>
        <v>0</v>
      </c>
      <c r="H297" s="22">
        <f t="shared" si="124"/>
        <v>221.6</v>
      </c>
      <c r="I297" s="22">
        <f t="shared" si="124"/>
        <v>0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</row>
    <row r="298" spans="1:219" s="6" customFormat="1" x14ac:dyDescent="0.3">
      <c r="A298" s="55"/>
      <c r="B298" s="45"/>
      <c r="C298" s="37">
        <v>2026</v>
      </c>
      <c r="D298" s="22">
        <f t="shared" si="124"/>
        <v>261.2</v>
      </c>
      <c r="E298" s="22">
        <f t="shared" si="124"/>
        <v>0</v>
      </c>
      <c r="F298" s="22">
        <f t="shared" si="124"/>
        <v>0</v>
      </c>
      <c r="G298" s="22">
        <f t="shared" si="124"/>
        <v>0</v>
      </c>
      <c r="H298" s="22">
        <f t="shared" si="124"/>
        <v>261.2</v>
      </c>
      <c r="I298" s="22">
        <f t="shared" si="124"/>
        <v>0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</row>
    <row r="299" spans="1:219" s="6" customFormat="1" x14ac:dyDescent="0.3">
      <c r="A299" s="55"/>
      <c r="B299" s="45"/>
      <c r="C299" s="37">
        <v>2027</v>
      </c>
      <c r="D299" s="22">
        <f t="shared" si="124"/>
        <v>251.5</v>
      </c>
      <c r="E299" s="22">
        <f t="shared" si="124"/>
        <v>0</v>
      </c>
      <c r="F299" s="22">
        <f t="shared" si="124"/>
        <v>0</v>
      </c>
      <c r="G299" s="22">
        <f t="shared" si="124"/>
        <v>0</v>
      </c>
      <c r="H299" s="22">
        <f>H307</f>
        <v>251.5</v>
      </c>
      <c r="I299" s="22">
        <f>I307</f>
        <v>0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</row>
    <row r="300" spans="1:219" s="6" customFormat="1" x14ac:dyDescent="0.3">
      <c r="A300" s="55"/>
      <c r="B300" s="45"/>
      <c r="C300" s="37">
        <v>2028</v>
      </c>
      <c r="D300" s="22">
        <f>SUM(E300:I300)</f>
        <v>251.5</v>
      </c>
      <c r="E300" s="22">
        <f t="shared" si="124"/>
        <v>0</v>
      </c>
      <c r="F300" s="22">
        <f t="shared" si="124"/>
        <v>0</v>
      </c>
      <c r="G300" s="22">
        <f t="shared" si="124"/>
        <v>0</v>
      </c>
      <c r="H300" s="22">
        <f t="shared" si="124"/>
        <v>251.5</v>
      </c>
      <c r="I300" s="22">
        <f>I308</f>
        <v>0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</row>
    <row r="301" spans="1:219" s="6" customFormat="1" x14ac:dyDescent="0.3">
      <c r="A301" s="55"/>
      <c r="B301" s="45"/>
      <c r="C301" s="37" t="s">
        <v>16</v>
      </c>
      <c r="D301" s="22">
        <f>SUM(D294:D300)</f>
        <v>1555.3</v>
      </c>
      <c r="E301" s="22">
        <f>E309</f>
        <v>0</v>
      </c>
      <c r="F301" s="22">
        <f>F309</f>
        <v>0</v>
      </c>
      <c r="G301" s="22">
        <f>G309</f>
        <v>0</v>
      </c>
      <c r="H301" s="22">
        <f>H309</f>
        <v>1555.3</v>
      </c>
      <c r="I301" s="22">
        <f>I309</f>
        <v>0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</row>
    <row r="302" spans="1:219" s="6" customFormat="1" x14ac:dyDescent="0.3">
      <c r="A302" s="46" t="s">
        <v>45</v>
      </c>
      <c r="B302" s="62"/>
      <c r="C302" s="38">
        <v>2022</v>
      </c>
      <c r="D302" s="21">
        <f t="shared" ref="D302:D307" si="125">SUM(E302:I302)</f>
        <v>175.5</v>
      </c>
      <c r="E302" s="14">
        <v>0</v>
      </c>
      <c r="F302" s="14">
        <v>0</v>
      </c>
      <c r="G302" s="14">
        <v>0</v>
      </c>
      <c r="H302" s="14">
        <v>175.5</v>
      </c>
      <c r="I302" s="14">
        <v>0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</row>
    <row r="303" spans="1:219" s="6" customFormat="1" x14ac:dyDescent="0.3">
      <c r="A303" s="47"/>
      <c r="B303" s="62"/>
      <c r="C303" s="38">
        <v>2023</v>
      </c>
      <c r="D303" s="21">
        <f t="shared" si="125"/>
        <v>167</v>
      </c>
      <c r="E303" s="14">
        <v>0</v>
      </c>
      <c r="F303" s="14">
        <v>0</v>
      </c>
      <c r="G303" s="14">
        <v>0</v>
      </c>
      <c r="H303" s="14">
        <v>167</v>
      </c>
      <c r="I303" s="14">
        <v>0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</row>
    <row r="304" spans="1:219" s="6" customFormat="1" x14ac:dyDescent="0.3">
      <c r="A304" s="47"/>
      <c r="B304" s="62"/>
      <c r="C304" s="38">
        <v>2024</v>
      </c>
      <c r="D304" s="21">
        <f t="shared" si="125"/>
        <v>227</v>
      </c>
      <c r="E304" s="14">
        <v>0</v>
      </c>
      <c r="F304" s="14">
        <v>0</v>
      </c>
      <c r="G304" s="14">
        <v>0</v>
      </c>
      <c r="H304" s="14">
        <v>227</v>
      </c>
      <c r="I304" s="14">
        <v>0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</row>
    <row r="305" spans="1:219" s="6" customFormat="1" x14ac:dyDescent="0.3">
      <c r="A305" s="47"/>
      <c r="B305" s="62"/>
      <c r="C305" s="38">
        <v>2025</v>
      </c>
      <c r="D305" s="21">
        <f>SUM(E305:I305)</f>
        <v>221.6</v>
      </c>
      <c r="E305" s="14">
        <v>0</v>
      </c>
      <c r="F305" s="14">
        <v>0</v>
      </c>
      <c r="G305" s="14">
        <v>0</v>
      </c>
      <c r="H305" s="14">
        <v>221.6</v>
      </c>
      <c r="I305" s="14">
        <v>0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</row>
    <row r="306" spans="1:219" s="6" customFormat="1" x14ac:dyDescent="0.3">
      <c r="A306" s="47"/>
      <c r="B306" s="62"/>
      <c r="C306" s="38">
        <v>2026</v>
      </c>
      <c r="D306" s="21">
        <f t="shared" si="125"/>
        <v>261.2</v>
      </c>
      <c r="E306" s="14">
        <v>0</v>
      </c>
      <c r="F306" s="14">
        <v>0</v>
      </c>
      <c r="G306" s="14">
        <v>0</v>
      </c>
      <c r="H306" s="14">
        <f>251.5+9.7</f>
        <v>261.2</v>
      </c>
      <c r="I306" s="14">
        <v>0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</row>
    <row r="307" spans="1:219" s="6" customFormat="1" x14ac:dyDescent="0.3">
      <c r="A307" s="47"/>
      <c r="B307" s="62"/>
      <c r="C307" s="38">
        <v>2027</v>
      </c>
      <c r="D307" s="21">
        <f t="shared" si="125"/>
        <v>251.5</v>
      </c>
      <c r="E307" s="14">
        <v>0</v>
      </c>
      <c r="F307" s="14">
        <v>0</v>
      </c>
      <c r="G307" s="14">
        <v>0</v>
      </c>
      <c r="H307" s="14">
        <v>251.5</v>
      </c>
      <c r="I307" s="14">
        <v>0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</row>
    <row r="308" spans="1:219" s="6" customFormat="1" x14ac:dyDescent="0.3">
      <c r="A308" s="47"/>
      <c r="B308" s="62"/>
      <c r="C308" s="38">
        <v>2028</v>
      </c>
      <c r="D308" s="14">
        <f>SUM(E308:I308)</f>
        <v>251.5</v>
      </c>
      <c r="E308" s="14">
        <v>0</v>
      </c>
      <c r="F308" s="14">
        <v>0</v>
      </c>
      <c r="G308" s="14">
        <v>0</v>
      </c>
      <c r="H308" s="14">
        <v>251.5</v>
      </c>
      <c r="I308" s="14">
        <v>0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</row>
    <row r="309" spans="1:219" s="6" customFormat="1" x14ac:dyDescent="0.3">
      <c r="A309" s="48"/>
      <c r="B309" s="62"/>
      <c r="C309" s="38" t="s">
        <v>16</v>
      </c>
      <c r="D309" s="21">
        <f t="shared" ref="D309:H309" si="126">SUM(D302:D308)</f>
        <v>1555.3</v>
      </c>
      <c r="E309" s="21">
        <f t="shared" si="126"/>
        <v>0</v>
      </c>
      <c r="F309" s="21">
        <f t="shared" si="126"/>
        <v>0</v>
      </c>
      <c r="G309" s="21">
        <f t="shared" si="126"/>
        <v>0</v>
      </c>
      <c r="H309" s="21">
        <f t="shared" si="126"/>
        <v>1555.3</v>
      </c>
      <c r="I309" s="21">
        <f>SUM(I302:I308)</f>
        <v>0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</row>
    <row r="310" spans="1:219" s="6" customFormat="1" x14ac:dyDescent="0.3">
      <c r="A310" s="39" t="s">
        <v>73</v>
      </c>
      <c r="B310" s="16"/>
      <c r="C310" s="17"/>
      <c r="D310" s="18"/>
      <c r="E310" s="19"/>
      <c r="F310" s="19"/>
      <c r="G310" s="19"/>
      <c r="H310" s="19"/>
      <c r="I310" s="20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</row>
    <row r="311" spans="1:219" s="6" customFormat="1" x14ac:dyDescent="0.3">
      <c r="A311" s="52" t="s">
        <v>16</v>
      </c>
      <c r="B311" s="45"/>
      <c r="C311" s="37">
        <v>2022</v>
      </c>
      <c r="D311" s="15">
        <f t="shared" ref="D311:I312" si="127">D317+D323+D326</f>
        <v>3669</v>
      </c>
      <c r="E311" s="15">
        <f t="shared" si="127"/>
        <v>132.1</v>
      </c>
      <c r="F311" s="15">
        <f t="shared" si="127"/>
        <v>1081.3</v>
      </c>
      <c r="G311" s="15">
        <f t="shared" si="127"/>
        <v>0</v>
      </c>
      <c r="H311" s="15">
        <f t="shared" si="127"/>
        <v>2455.6000000000004</v>
      </c>
      <c r="I311" s="15">
        <f t="shared" si="127"/>
        <v>0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</row>
    <row r="312" spans="1:219" s="6" customFormat="1" x14ac:dyDescent="0.3">
      <c r="A312" s="53"/>
      <c r="B312" s="45"/>
      <c r="C312" s="37">
        <v>2023</v>
      </c>
      <c r="D312" s="15">
        <f t="shared" si="127"/>
        <v>3785.8</v>
      </c>
      <c r="E312" s="15">
        <f t="shared" si="127"/>
        <v>204.2</v>
      </c>
      <c r="F312" s="15">
        <f t="shared" si="127"/>
        <v>1274.4000000000001</v>
      </c>
      <c r="G312" s="15">
        <f t="shared" si="127"/>
        <v>0</v>
      </c>
      <c r="H312" s="15">
        <f t="shared" si="127"/>
        <v>2307.1999999999998</v>
      </c>
      <c r="I312" s="15">
        <f t="shared" si="127"/>
        <v>0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</row>
    <row r="313" spans="1:219" s="6" customFormat="1" x14ac:dyDescent="0.3">
      <c r="A313" s="53"/>
      <c r="B313" s="45"/>
      <c r="C313" s="37">
        <v>2024</v>
      </c>
      <c r="D313" s="15">
        <f t="shared" ref="D313:I313" si="128">D319+D328+D330</f>
        <v>12583.6</v>
      </c>
      <c r="E313" s="15">
        <f t="shared" si="128"/>
        <v>0</v>
      </c>
      <c r="F313" s="15">
        <f t="shared" si="128"/>
        <v>0</v>
      </c>
      <c r="G313" s="15">
        <f t="shared" si="128"/>
        <v>5578</v>
      </c>
      <c r="H313" s="15">
        <f t="shared" si="128"/>
        <v>7005.6</v>
      </c>
      <c r="I313" s="15">
        <f t="shared" si="128"/>
        <v>0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</row>
    <row r="314" spans="1:219" s="6" customFormat="1" x14ac:dyDescent="0.3">
      <c r="A314" s="53"/>
      <c r="B314" s="45"/>
      <c r="C314" s="37">
        <v>2025</v>
      </c>
      <c r="D314" s="15">
        <f>SUM(E314:I314)</f>
        <v>13623.599999999999</v>
      </c>
      <c r="E314" s="15">
        <f>E320+E332+E334+E336</f>
        <v>0</v>
      </c>
      <c r="F314" s="15">
        <f>F320+F332+F334+F336</f>
        <v>0</v>
      </c>
      <c r="G314" s="15">
        <f>G320+G332+G334+G336</f>
        <v>13074.599999999999</v>
      </c>
      <c r="H314" s="15">
        <f>H320+H332+H334+H336</f>
        <v>549</v>
      </c>
      <c r="I314" s="15">
        <f>I320+I332+I334+I336</f>
        <v>0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</row>
    <row r="315" spans="1:219" s="6" customFormat="1" x14ac:dyDescent="0.3">
      <c r="A315" s="53"/>
      <c r="B315" s="45"/>
      <c r="C315" s="37">
        <v>2026</v>
      </c>
      <c r="D315" s="15">
        <f>SUM(E315:I315)</f>
        <v>7070.1</v>
      </c>
      <c r="E315" s="15">
        <f t="shared" ref="E315:H315" si="129">E321+E337</f>
        <v>0</v>
      </c>
      <c r="F315" s="15">
        <f t="shared" si="129"/>
        <v>0</v>
      </c>
      <c r="G315" s="15">
        <f t="shared" si="129"/>
        <v>3897.7</v>
      </c>
      <c r="H315" s="15">
        <f t="shared" si="129"/>
        <v>3172.4</v>
      </c>
      <c r="I315" s="15">
        <f>I321+I337</f>
        <v>0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</row>
    <row r="316" spans="1:219" s="6" customFormat="1" x14ac:dyDescent="0.3">
      <c r="A316" s="54"/>
      <c r="B316" s="45"/>
      <c r="C316" s="37" t="s">
        <v>16</v>
      </c>
      <c r="D316" s="15">
        <f t="shared" ref="D316:I316" si="130">SUM(D311:D315)</f>
        <v>40732.1</v>
      </c>
      <c r="E316" s="15">
        <f t="shared" si="130"/>
        <v>336.29999999999995</v>
      </c>
      <c r="F316" s="15">
        <f t="shared" si="130"/>
        <v>2355.6999999999998</v>
      </c>
      <c r="G316" s="15">
        <f t="shared" si="130"/>
        <v>22550.3</v>
      </c>
      <c r="H316" s="15">
        <f t="shared" si="130"/>
        <v>15489.800000000001</v>
      </c>
      <c r="I316" s="15">
        <f t="shared" si="130"/>
        <v>0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</row>
    <row r="317" spans="1:219" s="6" customFormat="1" ht="18.75" customHeight="1" x14ac:dyDescent="0.3">
      <c r="A317" s="46" t="s">
        <v>46</v>
      </c>
      <c r="B317" s="62"/>
      <c r="C317" s="38">
        <v>2022</v>
      </c>
      <c r="D317" s="14">
        <f t="shared" ref="D317:D321" si="131">SUM(E317:I317)</f>
        <v>2364.3000000000002</v>
      </c>
      <c r="E317" s="14">
        <v>0</v>
      </c>
      <c r="F317" s="14">
        <v>0</v>
      </c>
      <c r="G317" s="14">
        <v>0</v>
      </c>
      <c r="H317" s="14">
        <v>2364.3000000000002</v>
      </c>
      <c r="I317" s="14">
        <v>0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</row>
    <row r="318" spans="1:219" s="6" customFormat="1" x14ac:dyDescent="0.3">
      <c r="A318" s="47"/>
      <c r="B318" s="62"/>
      <c r="C318" s="38">
        <v>2023</v>
      </c>
      <c r="D318" s="14">
        <f t="shared" si="131"/>
        <v>630.70000000000005</v>
      </c>
      <c r="E318" s="14">
        <v>0</v>
      </c>
      <c r="F318" s="14">
        <v>0</v>
      </c>
      <c r="G318" s="14">
        <v>0</v>
      </c>
      <c r="H318" s="14">
        <v>630.70000000000005</v>
      </c>
      <c r="I318" s="14">
        <v>0</v>
      </c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</row>
    <row r="319" spans="1:219" s="6" customFormat="1" x14ac:dyDescent="0.3">
      <c r="A319" s="47"/>
      <c r="B319" s="62"/>
      <c r="C319" s="38">
        <v>2024</v>
      </c>
      <c r="D319" s="14">
        <f t="shared" si="131"/>
        <v>2865.6</v>
      </c>
      <c r="E319" s="14">
        <v>0</v>
      </c>
      <c r="F319" s="14">
        <v>0</v>
      </c>
      <c r="G319" s="14">
        <v>0</v>
      </c>
      <c r="H319" s="14">
        <v>2865.6</v>
      </c>
      <c r="I319" s="14">
        <v>0</v>
      </c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</row>
    <row r="320" spans="1:219" s="6" customFormat="1" x14ac:dyDescent="0.3">
      <c r="A320" s="47"/>
      <c r="B320" s="62"/>
      <c r="C320" s="38">
        <v>2025</v>
      </c>
      <c r="D320" s="14">
        <f t="shared" si="131"/>
        <v>397.9</v>
      </c>
      <c r="E320" s="14">
        <v>0</v>
      </c>
      <c r="F320" s="14">
        <v>0</v>
      </c>
      <c r="G320" s="14">
        <v>0</v>
      </c>
      <c r="H320" s="14">
        <f>628.4-17.3-52.7-160.5</f>
        <v>397.9</v>
      </c>
      <c r="I320" s="14">
        <v>0</v>
      </c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</row>
    <row r="321" spans="1:219" s="6" customFormat="1" x14ac:dyDescent="0.3">
      <c r="A321" s="47"/>
      <c r="B321" s="62"/>
      <c r="C321" s="38">
        <v>2026</v>
      </c>
      <c r="D321" s="14">
        <f t="shared" si="131"/>
        <v>3172.4</v>
      </c>
      <c r="E321" s="14">
        <v>0</v>
      </c>
      <c r="F321" s="14">
        <v>0</v>
      </c>
      <c r="G321" s="14">
        <v>0</v>
      </c>
      <c r="H321" s="14">
        <f>1457.8-671.2+2385.8</f>
        <v>3172.4</v>
      </c>
      <c r="I321" s="14">
        <v>0</v>
      </c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</row>
    <row r="322" spans="1:219" s="6" customFormat="1" x14ac:dyDescent="0.3">
      <c r="A322" s="48"/>
      <c r="B322" s="62"/>
      <c r="C322" s="38" t="s">
        <v>16</v>
      </c>
      <c r="D322" s="14">
        <f t="shared" ref="D322:I322" si="132">SUM(D317:D321)</f>
        <v>9430.9</v>
      </c>
      <c r="E322" s="14">
        <f t="shared" si="132"/>
        <v>0</v>
      </c>
      <c r="F322" s="14">
        <f t="shared" si="132"/>
        <v>0</v>
      </c>
      <c r="G322" s="14">
        <f t="shared" si="132"/>
        <v>0</v>
      </c>
      <c r="H322" s="14">
        <f t="shared" si="132"/>
        <v>9430.9</v>
      </c>
      <c r="I322" s="14">
        <f t="shared" si="132"/>
        <v>0</v>
      </c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</row>
    <row r="323" spans="1:219" s="6" customFormat="1" x14ac:dyDescent="0.3">
      <c r="A323" s="46" t="s">
        <v>66</v>
      </c>
      <c r="B323" s="62"/>
      <c r="C323" s="38">
        <v>2022</v>
      </c>
      <c r="D323" s="14">
        <f>SUM(E323:I323)</f>
        <v>1304.6999999999998</v>
      </c>
      <c r="E323" s="14">
        <v>132.1</v>
      </c>
      <c r="F323" s="14">
        <v>1081.3</v>
      </c>
      <c r="G323" s="14">
        <v>0</v>
      </c>
      <c r="H323" s="14">
        <v>91.3</v>
      </c>
      <c r="I323" s="14">
        <v>0</v>
      </c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</row>
    <row r="324" spans="1:219" s="6" customFormat="1" x14ac:dyDescent="0.3">
      <c r="A324" s="47"/>
      <c r="B324" s="62"/>
      <c r="C324" s="38">
        <v>2023</v>
      </c>
      <c r="D324" s="14">
        <f>SUM(E324:I324)</f>
        <v>3122.1000000000004</v>
      </c>
      <c r="E324" s="14">
        <v>204.2</v>
      </c>
      <c r="F324" s="14">
        <v>1274.4000000000001</v>
      </c>
      <c r="G324" s="14">
        <v>0</v>
      </c>
      <c r="H324" s="14">
        <v>1643.5</v>
      </c>
      <c r="I324" s="14">
        <v>0</v>
      </c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</row>
    <row r="325" spans="1:219" s="6" customFormat="1" x14ac:dyDescent="0.3">
      <c r="A325" s="48"/>
      <c r="B325" s="62"/>
      <c r="C325" s="38" t="s">
        <v>16</v>
      </c>
      <c r="D325" s="14">
        <f>SUM(D323:D324)</f>
        <v>4426.8</v>
      </c>
      <c r="E325" s="14">
        <f t="shared" ref="E325:I325" si="133">SUM(E323:E324)</f>
        <v>336.29999999999995</v>
      </c>
      <c r="F325" s="14">
        <f t="shared" si="133"/>
        <v>2355.6999999999998</v>
      </c>
      <c r="G325" s="14">
        <f t="shared" si="133"/>
        <v>0</v>
      </c>
      <c r="H325" s="14">
        <f t="shared" si="133"/>
        <v>1734.8</v>
      </c>
      <c r="I325" s="14">
        <f t="shared" si="133"/>
        <v>0</v>
      </c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</row>
    <row r="326" spans="1:219" s="6" customFormat="1" ht="18.75" customHeight="1" x14ac:dyDescent="0.3">
      <c r="A326" s="46" t="s">
        <v>47</v>
      </c>
      <c r="B326" s="62"/>
      <c r="C326" s="38">
        <v>2022</v>
      </c>
      <c r="D326" s="14">
        <f>SUM(E326:I326)</f>
        <v>0</v>
      </c>
      <c r="E326" s="14">
        <v>0</v>
      </c>
      <c r="F326" s="14">
        <v>0</v>
      </c>
      <c r="G326" s="14">
        <v>0</v>
      </c>
      <c r="H326" s="14">
        <v>0</v>
      </c>
      <c r="I326" s="14">
        <v>0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</row>
    <row r="327" spans="1:219" s="6" customFormat="1" x14ac:dyDescent="0.3">
      <c r="A327" s="47"/>
      <c r="B327" s="62"/>
      <c r="C327" s="38">
        <v>2023</v>
      </c>
      <c r="D327" s="14">
        <f>SUM(E327:I327)</f>
        <v>33</v>
      </c>
      <c r="E327" s="14">
        <v>0</v>
      </c>
      <c r="F327" s="14">
        <v>0</v>
      </c>
      <c r="G327" s="14">
        <v>0</v>
      </c>
      <c r="H327" s="14">
        <v>33</v>
      </c>
      <c r="I327" s="14">
        <v>0</v>
      </c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</row>
    <row r="328" spans="1:219" s="6" customFormat="1" x14ac:dyDescent="0.3">
      <c r="A328" s="47"/>
      <c r="B328" s="62"/>
      <c r="C328" s="38">
        <v>2024</v>
      </c>
      <c r="D328" s="14">
        <f>SUM(E328:I328)</f>
        <v>5578</v>
      </c>
      <c r="E328" s="14">
        <v>0</v>
      </c>
      <c r="F328" s="14">
        <v>0</v>
      </c>
      <c r="G328" s="14">
        <v>5578</v>
      </c>
      <c r="H328" s="14">
        <v>0</v>
      </c>
      <c r="I328" s="14">
        <v>0</v>
      </c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</row>
    <row r="329" spans="1:219" s="6" customFormat="1" x14ac:dyDescent="0.3">
      <c r="A329" s="48"/>
      <c r="B329" s="62"/>
      <c r="C329" s="38" t="s">
        <v>16</v>
      </c>
      <c r="D329" s="14">
        <f t="shared" ref="D329:I329" si="134">SUM(D326:D328)</f>
        <v>5611</v>
      </c>
      <c r="E329" s="14">
        <f t="shared" si="134"/>
        <v>0</v>
      </c>
      <c r="F329" s="14">
        <f t="shared" si="134"/>
        <v>0</v>
      </c>
      <c r="G329" s="14">
        <f t="shared" si="134"/>
        <v>5578</v>
      </c>
      <c r="H329" s="14">
        <f t="shared" si="134"/>
        <v>33</v>
      </c>
      <c r="I329" s="14">
        <f t="shared" si="134"/>
        <v>0</v>
      </c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</row>
    <row r="330" spans="1:219" s="6" customFormat="1" ht="18" customHeight="1" x14ac:dyDescent="0.3">
      <c r="A330" s="46" t="s">
        <v>24</v>
      </c>
      <c r="B330" s="49"/>
      <c r="C330" s="38">
        <v>2024</v>
      </c>
      <c r="D330" s="14">
        <f>SUM(E330:I330)</f>
        <v>4140</v>
      </c>
      <c r="E330" s="14">
        <v>0</v>
      </c>
      <c r="F330" s="14">
        <v>0</v>
      </c>
      <c r="G330" s="14">
        <v>0</v>
      </c>
      <c r="H330" s="14">
        <v>4140</v>
      </c>
      <c r="I330" s="14">
        <v>0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</row>
    <row r="331" spans="1:219" s="6" customFormat="1" ht="22.5" customHeight="1" x14ac:dyDescent="0.3">
      <c r="A331" s="48"/>
      <c r="B331" s="51"/>
      <c r="C331" s="38" t="s">
        <v>16</v>
      </c>
      <c r="D331" s="14">
        <f t="shared" ref="D331:H331" si="135">SUM(D330:D330)</f>
        <v>4140</v>
      </c>
      <c r="E331" s="14">
        <f t="shared" si="135"/>
        <v>0</v>
      </c>
      <c r="F331" s="14">
        <f t="shared" si="135"/>
        <v>0</v>
      </c>
      <c r="G331" s="14">
        <f t="shared" si="135"/>
        <v>0</v>
      </c>
      <c r="H331" s="14">
        <f t="shared" si="135"/>
        <v>4140</v>
      </c>
      <c r="I331" s="14">
        <f>I330</f>
        <v>0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</row>
    <row r="332" spans="1:219" s="6" customFormat="1" ht="21.75" customHeight="1" x14ac:dyDescent="0.3">
      <c r="A332" s="63" t="s">
        <v>84</v>
      </c>
      <c r="B332" s="71"/>
      <c r="C332" s="38">
        <v>2025</v>
      </c>
      <c r="D332" s="14">
        <f t="shared" ref="D332" si="136">SUM(E332:I332)</f>
        <v>1362.4</v>
      </c>
      <c r="E332" s="14">
        <v>0</v>
      </c>
      <c r="F332" s="14">
        <v>0</v>
      </c>
      <c r="G332" s="14">
        <f>1765.2-553.9</f>
        <v>1211.3000000000002</v>
      </c>
      <c r="H332" s="14">
        <f>153.5-2.4</f>
        <v>151.1</v>
      </c>
      <c r="I332" s="14">
        <v>0</v>
      </c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</row>
    <row r="333" spans="1:219" s="6" customFormat="1" ht="27" customHeight="1" x14ac:dyDescent="0.3">
      <c r="A333" s="65"/>
      <c r="B333" s="72"/>
      <c r="C333" s="38" t="s">
        <v>16</v>
      </c>
      <c r="D333" s="14">
        <f t="shared" ref="D333:H333" si="137">D332</f>
        <v>1362.4</v>
      </c>
      <c r="E333" s="14">
        <f t="shared" si="137"/>
        <v>0</v>
      </c>
      <c r="F333" s="14">
        <f t="shared" si="137"/>
        <v>0</v>
      </c>
      <c r="G333" s="14">
        <f t="shared" si="137"/>
        <v>1211.3000000000002</v>
      </c>
      <c r="H333" s="14">
        <f t="shared" si="137"/>
        <v>151.1</v>
      </c>
      <c r="I333" s="14">
        <f>I332</f>
        <v>0</v>
      </c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</row>
    <row r="334" spans="1:219" s="6" customFormat="1" ht="30.75" customHeight="1" x14ac:dyDescent="0.3">
      <c r="A334" s="63" t="s">
        <v>83</v>
      </c>
      <c r="B334" s="71"/>
      <c r="C334" s="38">
        <v>2025</v>
      </c>
      <c r="D334" s="14">
        <f t="shared" ref="D334" si="138">SUM(E334:I334)</f>
        <v>0</v>
      </c>
      <c r="E334" s="14">
        <v>0</v>
      </c>
      <c r="F334" s="14">
        <v>0</v>
      </c>
      <c r="G334" s="14">
        <f>799.4-799.4</f>
        <v>0</v>
      </c>
      <c r="H334" s="14">
        <v>0</v>
      </c>
      <c r="I334" s="14">
        <v>0</v>
      </c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</row>
    <row r="335" spans="1:219" s="6" customFormat="1" ht="37.5" customHeight="1" x14ac:dyDescent="0.3">
      <c r="A335" s="65"/>
      <c r="B335" s="72"/>
      <c r="C335" s="38" t="s">
        <v>16</v>
      </c>
      <c r="D335" s="14">
        <f t="shared" ref="D335:H335" si="139">D334</f>
        <v>0</v>
      </c>
      <c r="E335" s="14">
        <f t="shared" si="139"/>
        <v>0</v>
      </c>
      <c r="F335" s="14">
        <f t="shared" si="139"/>
        <v>0</v>
      </c>
      <c r="G335" s="14">
        <f t="shared" si="139"/>
        <v>0</v>
      </c>
      <c r="H335" s="14">
        <f t="shared" si="139"/>
        <v>0</v>
      </c>
      <c r="I335" s="14">
        <f>I334</f>
        <v>0</v>
      </c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</row>
    <row r="336" spans="1:219" s="6" customFormat="1" ht="18.75" customHeight="1" x14ac:dyDescent="0.3">
      <c r="A336" s="63" t="s">
        <v>89</v>
      </c>
      <c r="B336" s="71"/>
      <c r="C336" s="38">
        <v>2025</v>
      </c>
      <c r="D336" s="14">
        <f t="shared" ref="D336:D337" si="140">SUM(E336:I336)</f>
        <v>11863.3</v>
      </c>
      <c r="E336" s="14">
        <v>0</v>
      </c>
      <c r="F336" s="14">
        <v>0</v>
      </c>
      <c r="G336" s="14">
        <f>0+11863.3</f>
        <v>11863.3</v>
      </c>
      <c r="H336" s="14">
        <v>0</v>
      </c>
      <c r="I336" s="14">
        <v>0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</row>
    <row r="337" spans="1:219" s="6" customFormat="1" ht="19.5" customHeight="1" x14ac:dyDescent="0.3">
      <c r="A337" s="64"/>
      <c r="B337" s="73"/>
      <c r="C337" s="38">
        <v>2026</v>
      </c>
      <c r="D337" s="14">
        <f t="shared" si="140"/>
        <v>3897.7</v>
      </c>
      <c r="E337" s="14">
        <v>0</v>
      </c>
      <c r="F337" s="14">
        <v>0</v>
      </c>
      <c r="G337" s="14">
        <f>0+3897.7</f>
        <v>3897.7</v>
      </c>
      <c r="H337" s="14">
        <v>0</v>
      </c>
      <c r="I337" s="14">
        <v>0</v>
      </c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</row>
    <row r="338" spans="1:219" s="6" customFormat="1" ht="18.75" customHeight="1" x14ac:dyDescent="0.3">
      <c r="A338" s="65"/>
      <c r="B338" s="72"/>
      <c r="C338" s="38" t="s">
        <v>16</v>
      </c>
      <c r="D338" s="14">
        <f t="shared" ref="D338:H338" si="141">SUM(D336:D337)</f>
        <v>15761</v>
      </c>
      <c r="E338" s="14">
        <f t="shared" si="141"/>
        <v>0</v>
      </c>
      <c r="F338" s="14">
        <f t="shared" si="141"/>
        <v>0</v>
      </c>
      <c r="G338" s="14">
        <f t="shared" si="141"/>
        <v>15761</v>
      </c>
      <c r="H338" s="14">
        <f t="shared" si="141"/>
        <v>0</v>
      </c>
      <c r="I338" s="14">
        <f>SUM(I336:I337)</f>
        <v>0</v>
      </c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</row>
    <row r="339" spans="1:219" s="6" customFormat="1" ht="28.5" customHeight="1" x14ac:dyDescent="0.3">
      <c r="A339" s="74" t="s">
        <v>74</v>
      </c>
      <c r="B339" s="75"/>
      <c r="C339" s="75"/>
      <c r="D339" s="75"/>
      <c r="E339" s="75"/>
      <c r="F339" s="75"/>
      <c r="G339" s="75"/>
      <c r="H339" s="75"/>
      <c r="I339" s="76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</row>
    <row r="340" spans="1:219" s="6" customFormat="1" x14ac:dyDescent="0.3">
      <c r="A340" s="52" t="s">
        <v>16</v>
      </c>
      <c r="B340" s="45"/>
      <c r="C340" s="37">
        <v>2022</v>
      </c>
      <c r="D340" s="15">
        <f t="shared" ref="D340:I341" si="142">D346</f>
        <v>1761.2</v>
      </c>
      <c r="E340" s="15">
        <f t="shared" si="142"/>
        <v>0</v>
      </c>
      <c r="F340" s="15">
        <f t="shared" si="142"/>
        <v>0</v>
      </c>
      <c r="G340" s="15">
        <f t="shared" si="142"/>
        <v>0</v>
      </c>
      <c r="H340" s="15">
        <f t="shared" si="142"/>
        <v>1761.2</v>
      </c>
      <c r="I340" s="15">
        <f t="shared" si="142"/>
        <v>0</v>
      </c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</row>
    <row r="341" spans="1:219" s="6" customFormat="1" x14ac:dyDescent="0.3">
      <c r="A341" s="53"/>
      <c r="B341" s="45"/>
      <c r="C341" s="37">
        <v>2023</v>
      </c>
      <c r="D341" s="15">
        <f t="shared" si="142"/>
        <v>0</v>
      </c>
      <c r="E341" s="15">
        <f t="shared" si="142"/>
        <v>0</v>
      </c>
      <c r="F341" s="15">
        <f t="shared" si="142"/>
        <v>0</v>
      </c>
      <c r="G341" s="15">
        <f t="shared" si="142"/>
        <v>0</v>
      </c>
      <c r="H341" s="15">
        <f t="shared" si="142"/>
        <v>0</v>
      </c>
      <c r="I341" s="15">
        <f t="shared" si="142"/>
        <v>0</v>
      </c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</row>
    <row r="342" spans="1:219" s="6" customFormat="1" x14ac:dyDescent="0.3">
      <c r="A342" s="53"/>
      <c r="B342" s="45"/>
      <c r="C342" s="37">
        <v>2024</v>
      </c>
      <c r="D342" s="15">
        <f t="shared" ref="D342:I344" si="143">D348+D352</f>
        <v>0</v>
      </c>
      <c r="E342" s="15">
        <f t="shared" si="143"/>
        <v>0</v>
      </c>
      <c r="F342" s="15">
        <f t="shared" si="143"/>
        <v>0</v>
      </c>
      <c r="G342" s="15">
        <f t="shared" si="143"/>
        <v>0</v>
      </c>
      <c r="H342" s="15">
        <f t="shared" si="143"/>
        <v>0</v>
      </c>
      <c r="I342" s="15">
        <f t="shared" si="143"/>
        <v>0</v>
      </c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</row>
    <row r="343" spans="1:219" s="6" customFormat="1" x14ac:dyDescent="0.3">
      <c r="A343" s="53"/>
      <c r="B343" s="45"/>
      <c r="C343" s="37">
        <v>2025</v>
      </c>
      <c r="D343" s="15">
        <f>SUM(E343:I343)</f>
        <v>9218.5</v>
      </c>
      <c r="E343" s="15">
        <f t="shared" si="143"/>
        <v>0</v>
      </c>
      <c r="F343" s="15">
        <f t="shared" si="143"/>
        <v>0</v>
      </c>
      <c r="G343" s="15">
        <f t="shared" si="143"/>
        <v>2300</v>
      </c>
      <c r="H343" s="15">
        <f t="shared" si="143"/>
        <v>6918.5</v>
      </c>
      <c r="I343" s="15">
        <f t="shared" si="143"/>
        <v>0</v>
      </c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</row>
    <row r="344" spans="1:219" s="6" customFormat="1" x14ac:dyDescent="0.3">
      <c r="A344" s="53"/>
      <c r="B344" s="45"/>
      <c r="C344" s="37">
        <v>2026</v>
      </c>
      <c r="D344" s="15">
        <f>SUM(E344:I344)</f>
        <v>9136.6</v>
      </c>
      <c r="E344" s="15">
        <f t="shared" si="143"/>
        <v>0</v>
      </c>
      <c r="F344" s="15">
        <f t="shared" si="143"/>
        <v>0</v>
      </c>
      <c r="G344" s="15">
        <f t="shared" si="143"/>
        <v>2275</v>
      </c>
      <c r="H344" s="15">
        <f t="shared" si="143"/>
        <v>6861.6</v>
      </c>
      <c r="I344" s="15">
        <f t="shared" si="143"/>
        <v>0</v>
      </c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</row>
    <row r="345" spans="1:219" s="6" customFormat="1" x14ac:dyDescent="0.3">
      <c r="A345" s="54"/>
      <c r="B345" s="45"/>
      <c r="C345" s="37" t="s">
        <v>16</v>
      </c>
      <c r="D345" s="15">
        <f t="shared" ref="D345:H345" si="144">SUM(D340:D344)</f>
        <v>20116.300000000003</v>
      </c>
      <c r="E345" s="15">
        <f t="shared" si="144"/>
        <v>0</v>
      </c>
      <c r="F345" s="15">
        <f t="shared" si="144"/>
        <v>0</v>
      </c>
      <c r="G345" s="15">
        <f t="shared" si="144"/>
        <v>4575</v>
      </c>
      <c r="H345" s="15">
        <f t="shared" si="144"/>
        <v>15541.300000000001</v>
      </c>
      <c r="I345" s="15">
        <f>SUM(I340:I344)</f>
        <v>0</v>
      </c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</row>
    <row r="346" spans="1:219" s="6" customFormat="1" ht="18.75" customHeight="1" x14ac:dyDescent="0.3">
      <c r="A346" s="46" t="s">
        <v>55</v>
      </c>
      <c r="B346" s="62"/>
      <c r="C346" s="38">
        <v>2022</v>
      </c>
      <c r="D346" s="14">
        <f>SUM(E346:I346)</f>
        <v>1761.2</v>
      </c>
      <c r="E346" s="14">
        <v>0</v>
      </c>
      <c r="F346" s="14">
        <v>0</v>
      </c>
      <c r="G346" s="14">
        <v>0</v>
      </c>
      <c r="H346" s="14">
        <v>1761.2</v>
      </c>
      <c r="I346" s="14">
        <v>0</v>
      </c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</row>
    <row r="347" spans="1:219" s="6" customFormat="1" x14ac:dyDescent="0.3">
      <c r="A347" s="47"/>
      <c r="B347" s="62"/>
      <c r="C347" s="38">
        <v>2023</v>
      </c>
      <c r="D347" s="14">
        <f>SUM(E347:I347)</f>
        <v>0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</row>
    <row r="348" spans="1:219" s="6" customFormat="1" x14ac:dyDescent="0.3">
      <c r="A348" s="47"/>
      <c r="B348" s="62"/>
      <c r="C348" s="38">
        <v>2024</v>
      </c>
      <c r="D348" s="14">
        <f>SUM(E348:I348)</f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</row>
    <row r="349" spans="1:219" s="6" customFormat="1" x14ac:dyDescent="0.3">
      <c r="A349" s="47"/>
      <c r="B349" s="62"/>
      <c r="C349" s="38">
        <v>2025</v>
      </c>
      <c r="D349" s="14">
        <f>SUM(E349:I349)</f>
        <v>2500</v>
      </c>
      <c r="E349" s="14">
        <v>0</v>
      </c>
      <c r="F349" s="14">
        <v>0</v>
      </c>
      <c r="G349" s="14">
        <v>2300</v>
      </c>
      <c r="H349" s="14">
        <v>200</v>
      </c>
      <c r="I349" s="14">
        <v>0</v>
      </c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</row>
    <row r="350" spans="1:219" s="6" customFormat="1" x14ac:dyDescent="0.3">
      <c r="A350" s="47"/>
      <c r="B350" s="62"/>
      <c r="C350" s="38">
        <v>2026</v>
      </c>
      <c r="D350" s="14">
        <f>SUM(E350:I350)</f>
        <v>2500</v>
      </c>
      <c r="E350" s="14">
        <v>0</v>
      </c>
      <c r="F350" s="14">
        <v>0</v>
      </c>
      <c r="G350" s="14">
        <f>0+2275</f>
        <v>2275</v>
      </c>
      <c r="H350" s="14">
        <f>0+200+25</f>
        <v>225</v>
      </c>
      <c r="I350" s="14">
        <v>0</v>
      </c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</row>
    <row r="351" spans="1:219" s="6" customFormat="1" x14ac:dyDescent="0.3">
      <c r="A351" s="48"/>
      <c r="B351" s="62"/>
      <c r="C351" s="38" t="s">
        <v>16</v>
      </c>
      <c r="D351" s="14">
        <f t="shared" ref="D351:H351" si="145">SUM(D346:D350)</f>
        <v>6761.2</v>
      </c>
      <c r="E351" s="14">
        <f t="shared" si="145"/>
        <v>0</v>
      </c>
      <c r="F351" s="14">
        <f t="shared" si="145"/>
        <v>0</v>
      </c>
      <c r="G351" s="14">
        <f t="shared" si="145"/>
        <v>4575</v>
      </c>
      <c r="H351" s="14">
        <f t="shared" si="145"/>
        <v>2186.1999999999998</v>
      </c>
      <c r="I351" s="14">
        <f>SUM(I346:I350)</f>
        <v>0</v>
      </c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</row>
    <row r="352" spans="1:219" s="6" customFormat="1" ht="18" customHeight="1" x14ac:dyDescent="0.3">
      <c r="A352" s="46" t="s">
        <v>20</v>
      </c>
      <c r="B352" s="49"/>
      <c r="C352" s="38">
        <v>2024</v>
      </c>
      <c r="D352" s="14">
        <f>SUM(E352:I352)</f>
        <v>0</v>
      </c>
      <c r="E352" s="14">
        <v>0</v>
      </c>
      <c r="F352" s="14">
        <v>0</v>
      </c>
      <c r="G352" s="14">
        <v>0</v>
      </c>
      <c r="H352" s="14">
        <v>0</v>
      </c>
      <c r="I352" s="14">
        <v>0</v>
      </c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</row>
    <row r="353" spans="1:219" s="6" customFormat="1" ht="18" customHeight="1" x14ac:dyDescent="0.3">
      <c r="A353" s="47"/>
      <c r="B353" s="50"/>
      <c r="C353" s="38">
        <v>2025</v>
      </c>
      <c r="D353" s="14">
        <f>SUM(E353:I353)</f>
        <v>6718.5</v>
      </c>
      <c r="E353" s="14">
        <v>0</v>
      </c>
      <c r="F353" s="14">
        <v>0</v>
      </c>
      <c r="G353" s="14">
        <v>0</v>
      </c>
      <c r="H353" s="14">
        <f>6300+418.5</f>
        <v>6718.5</v>
      </c>
      <c r="I353" s="14">
        <v>0</v>
      </c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</row>
    <row r="354" spans="1:219" s="6" customFormat="1" ht="18" customHeight="1" x14ac:dyDescent="0.3">
      <c r="A354" s="47"/>
      <c r="B354" s="50"/>
      <c r="C354" s="38">
        <v>2026</v>
      </c>
      <c r="D354" s="14">
        <f>SUM(E354:I354)</f>
        <v>6636.6</v>
      </c>
      <c r="E354" s="14">
        <v>0</v>
      </c>
      <c r="F354" s="14">
        <v>0</v>
      </c>
      <c r="G354" s="14">
        <v>0</v>
      </c>
      <c r="H354" s="14">
        <f>0+6636.6</f>
        <v>6636.6</v>
      </c>
      <c r="I354" s="14">
        <v>0</v>
      </c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</row>
    <row r="355" spans="1:219" s="6" customFormat="1" ht="21" customHeight="1" x14ac:dyDescent="0.3">
      <c r="A355" s="48"/>
      <c r="B355" s="51"/>
      <c r="C355" s="38" t="s">
        <v>16</v>
      </c>
      <c r="D355" s="14">
        <f t="shared" ref="D355:H355" si="146">SUM(D352:D354)</f>
        <v>13355.1</v>
      </c>
      <c r="E355" s="14">
        <f t="shared" si="146"/>
        <v>0</v>
      </c>
      <c r="F355" s="14">
        <f t="shared" si="146"/>
        <v>0</v>
      </c>
      <c r="G355" s="14">
        <f t="shared" si="146"/>
        <v>0</v>
      </c>
      <c r="H355" s="14">
        <f t="shared" si="146"/>
        <v>13355.1</v>
      </c>
      <c r="I355" s="14">
        <f>SUM(I352:I354)</f>
        <v>0</v>
      </c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</row>
    <row r="356" spans="1:219" s="6" customFormat="1" x14ac:dyDescent="0.3">
      <c r="A356" s="39" t="s">
        <v>75</v>
      </c>
      <c r="B356" s="16"/>
      <c r="C356" s="17"/>
      <c r="D356" s="18"/>
      <c r="E356" s="19"/>
      <c r="F356" s="19"/>
      <c r="G356" s="19"/>
      <c r="H356" s="19"/>
      <c r="I356" s="20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</row>
    <row r="357" spans="1:219" s="6" customFormat="1" x14ac:dyDescent="0.3">
      <c r="A357" s="52" t="s">
        <v>16</v>
      </c>
      <c r="B357" s="45"/>
      <c r="C357" s="37">
        <v>2022</v>
      </c>
      <c r="D357" s="15">
        <f t="shared" ref="D357:I358" si="147">D365+D373</f>
        <v>9386.1</v>
      </c>
      <c r="E357" s="15">
        <f t="shared" si="147"/>
        <v>0</v>
      </c>
      <c r="F357" s="15">
        <f t="shared" si="147"/>
        <v>0</v>
      </c>
      <c r="G357" s="15">
        <f t="shared" si="147"/>
        <v>0</v>
      </c>
      <c r="H357" s="15">
        <f t="shared" si="147"/>
        <v>9386.1</v>
      </c>
      <c r="I357" s="15">
        <f t="shared" si="147"/>
        <v>0</v>
      </c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</row>
    <row r="358" spans="1:219" s="6" customFormat="1" x14ac:dyDescent="0.3">
      <c r="A358" s="53"/>
      <c r="B358" s="45"/>
      <c r="C358" s="37">
        <v>2023</v>
      </c>
      <c r="D358" s="15">
        <f t="shared" si="147"/>
        <v>8491.5</v>
      </c>
      <c r="E358" s="15">
        <f t="shared" si="147"/>
        <v>0</v>
      </c>
      <c r="F358" s="15">
        <f t="shared" si="147"/>
        <v>0</v>
      </c>
      <c r="G358" s="15">
        <f t="shared" si="147"/>
        <v>0</v>
      </c>
      <c r="H358" s="15">
        <f t="shared" si="147"/>
        <v>8491.5</v>
      </c>
      <c r="I358" s="15">
        <f t="shared" si="147"/>
        <v>0</v>
      </c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</row>
    <row r="359" spans="1:219" s="6" customFormat="1" x14ac:dyDescent="0.3">
      <c r="A359" s="53"/>
      <c r="B359" s="45"/>
      <c r="C359" s="37">
        <v>2024</v>
      </c>
      <c r="D359" s="15">
        <f t="shared" ref="D359:I359" si="148">D367+D375+D381+D383</f>
        <v>5620.1</v>
      </c>
      <c r="E359" s="15">
        <f t="shared" si="148"/>
        <v>0</v>
      </c>
      <c r="F359" s="15">
        <f t="shared" si="148"/>
        <v>0</v>
      </c>
      <c r="G359" s="15">
        <f t="shared" si="148"/>
        <v>0</v>
      </c>
      <c r="H359" s="15">
        <f t="shared" si="148"/>
        <v>5620.1</v>
      </c>
      <c r="I359" s="15">
        <f t="shared" si="148"/>
        <v>0</v>
      </c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</row>
    <row r="360" spans="1:219" s="6" customFormat="1" ht="21" customHeight="1" x14ac:dyDescent="0.3">
      <c r="A360" s="53"/>
      <c r="B360" s="45"/>
      <c r="C360" s="37">
        <v>2025</v>
      </c>
      <c r="D360" s="15">
        <f>SUM(E360:I360)</f>
        <v>48982</v>
      </c>
      <c r="E360" s="15">
        <f t="shared" ref="E360:I360" si="149">E368+E376+E385+E388</f>
        <v>0</v>
      </c>
      <c r="F360" s="15">
        <f t="shared" si="149"/>
        <v>0</v>
      </c>
      <c r="G360" s="15">
        <f t="shared" si="149"/>
        <v>40071.5</v>
      </c>
      <c r="H360" s="15">
        <f t="shared" si="149"/>
        <v>8910.5</v>
      </c>
      <c r="I360" s="15">
        <f t="shared" si="149"/>
        <v>0</v>
      </c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</row>
    <row r="361" spans="1:219" s="6" customFormat="1" x14ac:dyDescent="0.3">
      <c r="A361" s="53"/>
      <c r="B361" s="45"/>
      <c r="C361" s="37">
        <v>2026</v>
      </c>
      <c r="D361" s="15">
        <f>SUM(E361:I361)</f>
        <v>46968.5</v>
      </c>
      <c r="E361" s="15">
        <f t="shared" ref="E361:H361" si="150">E369+E377+E386</f>
        <v>0</v>
      </c>
      <c r="F361" s="15">
        <f t="shared" si="150"/>
        <v>0</v>
      </c>
      <c r="G361" s="15">
        <f t="shared" si="150"/>
        <v>30045.699999999997</v>
      </c>
      <c r="H361" s="15">
        <f t="shared" si="150"/>
        <v>16922.8</v>
      </c>
      <c r="I361" s="15">
        <f>I369+I377+I386</f>
        <v>0</v>
      </c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</row>
    <row r="362" spans="1:219" s="6" customFormat="1" x14ac:dyDescent="0.3">
      <c r="A362" s="53"/>
      <c r="B362" s="45"/>
      <c r="C362" s="37">
        <v>2027</v>
      </c>
      <c r="D362" s="15">
        <f>SUM(E362:I362)</f>
        <v>8308</v>
      </c>
      <c r="E362" s="15">
        <f t="shared" ref="E362:H363" si="151">E370+E378</f>
        <v>0</v>
      </c>
      <c r="F362" s="15">
        <f t="shared" si="151"/>
        <v>0</v>
      </c>
      <c r="G362" s="15">
        <f t="shared" si="151"/>
        <v>0</v>
      </c>
      <c r="H362" s="15">
        <f t="shared" si="151"/>
        <v>8308</v>
      </c>
      <c r="I362" s="15">
        <f>I370+I378</f>
        <v>0</v>
      </c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</row>
    <row r="363" spans="1:219" s="6" customFormat="1" x14ac:dyDescent="0.3">
      <c r="A363" s="53"/>
      <c r="B363" s="45"/>
      <c r="C363" s="37">
        <v>2028</v>
      </c>
      <c r="D363" s="15">
        <f t="shared" ref="D363" si="152">D371</f>
        <v>5307.2</v>
      </c>
      <c r="E363" s="15">
        <f t="shared" si="151"/>
        <v>0</v>
      </c>
      <c r="F363" s="15">
        <f t="shared" si="151"/>
        <v>0</v>
      </c>
      <c r="G363" s="15">
        <f t="shared" si="151"/>
        <v>0</v>
      </c>
      <c r="H363" s="15">
        <f t="shared" si="151"/>
        <v>5307.2</v>
      </c>
      <c r="I363" s="15">
        <f>I371+I379</f>
        <v>0</v>
      </c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</row>
    <row r="364" spans="1:219" s="6" customFormat="1" x14ac:dyDescent="0.3">
      <c r="A364" s="54"/>
      <c r="B364" s="45"/>
      <c r="C364" s="37" t="s">
        <v>16</v>
      </c>
      <c r="D364" s="22">
        <f t="shared" ref="D364:H364" si="153">SUM(D357:D363)</f>
        <v>133063.4</v>
      </c>
      <c r="E364" s="22">
        <f t="shared" si="153"/>
        <v>0</v>
      </c>
      <c r="F364" s="22">
        <f t="shared" si="153"/>
        <v>0</v>
      </c>
      <c r="G364" s="22">
        <f t="shared" si="153"/>
        <v>70117.2</v>
      </c>
      <c r="H364" s="22">
        <f t="shared" si="153"/>
        <v>62946.2</v>
      </c>
      <c r="I364" s="22">
        <f>SUM(I357:I363)</f>
        <v>0</v>
      </c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</row>
    <row r="365" spans="1:219" s="6" customFormat="1" ht="18.75" customHeight="1" x14ac:dyDescent="0.3">
      <c r="A365" s="46" t="s">
        <v>48</v>
      </c>
      <c r="B365" s="62"/>
      <c r="C365" s="38">
        <v>2022</v>
      </c>
      <c r="D365" s="21">
        <f t="shared" ref="D365:D370" si="154">SUM(E365:I365)</f>
        <v>8188.1</v>
      </c>
      <c r="E365" s="14">
        <v>0</v>
      </c>
      <c r="F365" s="14">
        <v>0</v>
      </c>
      <c r="G365" s="14">
        <v>0</v>
      </c>
      <c r="H365" s="14">
        <v>8188.1</v>
      </c>
      <c r="I365" s="14">
        <v>0</v>
      </c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</row>
    <row r="366" spans="1:219" s="6" customFormat="1" x14ac:dyDescent="0.3">
      <c r="A366" s="47"/>
      <c r="B366" s="62"/>
      <c r="C366" s="38">
        <v>2023</v>
      </c>
      <c r="D366" s="21">
        <f t="shared" si="154"/>
        <v>7833.4</v>
      </c>
      <c r="E366" s="14">
        <v>0</v>
      </c>
      <c r="F366" s="14">
        <v>0</v>
      </c>
      <c r="G366" s="14">
        <v>0</v>
      </c>
      <c r="H366" s="14">
        <v>7833.4</v>
      </c>
      <c r="I366" s="14">
        <v>0</v>
      </c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</row>
    <row r="367" spans="1:219" s="6" customFormat="1" x14ac:dyDescent="0.3">
      <c r="A367" s="47"/>
      <c r="B367" s="62"/>
      <c r="C367" s="38">
        <v>2024</v>
      </c>
      <c r="D367" s="21">
        <f t="shared" si="154"/>
        <v>5000</v>
      </c>
      <c r="E367" s="14">
        <v>0</v>
      </c>
      <c r="F367" s="14">
        <v>0</v>
      </c>
      <c r="G367" s="14">
        <v>0</v>
      </c>
      <c r="H367" s="14">
        <v>5000</v>
      </c>
      <c r="I367" s="14">
        <v>0</v>
      </c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</row>
    <row r="368" spans="1:219" s="6" customFormat="1" x14ac:dyDescent="0.3">
      <c r="A368" s="47"/>
      <c r="B368" s="62"/>
      <c r="C368" s="38">
        <v>2025</v>
      </c>
      <c r="D368" s="21">
        <f t="shared" si="154"/>
        <v>5307.2</v>
      </c>
      <c r="E368" s="14">
        <v>0</v>
      </c>
      <c r="F368" s="14">
        <v>0</v>
      </c>
      <c r="G368" s="14">
        <v>0</v>
      </c>
      <c r="H368" s="14">
        <f>4903+404.2</f>
        <v>5307.2</v>
      </c>
      <c r="I368" s="14">
        <v>0</v>
      </c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</row>
    <row r="369" spans="1:219" s="6" customFormat="1" x14ac:dyDescent="0.3">
      <c r="A369" s="47"/>
      <c r="B369" s="62"/>
      <c r="C369" s="38">
        <v>2026</v>
      </c>
      <c r="D369" s="21">
        <f t="shared" si="154"/>
        <v>13951.2</v>
      </c>
      <c r="E369" s="14">
        <v>0</v>
      </c>
      <c r="F369" s="14">
        <v>0</v>
      </c>
      <c r="G369" s="14">
        <v>0</v>
      </c>
      <c r="H369" s="14">
        <v>13951.2</v>
      </c>
      <c r="I369" s="14">
        <v>0</v>
      </c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</row>
    <row r="370" spans="1:219" s="6" customFormat="1" x14ac:dyDescent="0.3">
      <c r="A370" s="47"/>
      <c r="B370" s="62"/>
      <c r="C370" s="38">
        <v>2027</v>
      </c>
      <c r="D370" s="21">
        <f t="shared" si="154"/>
        <v>5307.2</v>
      </c>
      <c r="E370" s="14">
        <v>0</v>
      </c>
      <c r="F370" s="14">
        <v>0</v>
      </c>
      <c r="G370" s="14">
        <v>0</v>
      </c>
      <c r="H370" s="14">
        <v>5307.2</v>
      </c>
      <c r="I370" s="14">
        <v>0</v>
      </c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</row>
    <row r="371" spans="1:219" s="6" customFormat="1" x14ac:dyDescent="0.3">
      <c r="A371" s="47"/>
      <c r="B371" s="62"/>
      <c r="C371" s="38">
        <v>2028</v>
      </c>
      <c r="D371" s="14">
        <f>SUM(E371:I371)</f>
        <v>5307.2</v>
      </c>
      <c r="E371" s="14">
        <v>0</v>
      </c>
      <c r="F371" s="14">
        <v>0</v>
      </c>
      <c r="G371" s="14">
        <v>0</v>
      </c>
      <c r="H371" s="14">
        <v>5307.2</v>
      </c>
      <c r="I371" s="14">
        <v>0</v>
      </c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</row>
    <row r="372" spans="1:219" s="6" customFormat="1" x14ac:dyDescent="0.3">
      <c r="A372" s="48"/>
      <c r="B372" s="62"/>
      <c r="C372" s="38" t="s">
        <v>16</v>
      </c>
      <c r="D372" s="21">
        <f>SUM(D365:D371)</f>
        <v>50894.299999999996</v>
      </c>
      <c r="E372" s="21">
        <f t="shared" ref="E372:H372" si="155">SUM(E365:E371)</f>
        <v>0</v>
      </c>
      <c r="F372" s="21">
        <f t="shared" si="155"/>
        <v>0</v>
      </c>
      <c r="G372" s="21">
        <f t="shared" si="155"/>
        <v>0</v>
      </c>
      <c r="H372" s="21">
        <f t="shared" si="155"/>
        <v>50894.299999999996</v>
      </c>
      <c r="I372" s="21">
        <f>SUM(I365:I371)</f>
        <v>0</v>
      </c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</row>
    <row r="373" spans="1:219" s="6" customFormat="1" ht="18.75" customHeight="1" x14ac:dyDescent="0.3">
      <c r="A373" s="46" t="s">
        <v>85</v>
      </c>
      <c r="B373" s="62"/>
      <c r="C373" s="38">
        <v>2022</v>
      </c>
      <c r="D373" s="21">
        <f>SUM(E373:I373)</f>
        <v>1198</v>
      </c>
      <c r="E373" s="14">
        <v>0</v>
      </c>
      <c r="F373" s="14">
        <v>0</v>
      </c>
      <c r="G373" s="14">
        <v>0</v>
      </c>
      <c r="H373" s="14">
        <v>1198</v>
      </c>
      <c r="I373" s="14">
        <v>0</v>
      </c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</row>
    <row r="374" spans="1:219" s="6" customFormat="1" x14ac:dyDescent="0.3">
      <c r="A374" s="47"/>
      <c r="B374" s="62"/>
      <c r="C374" s="38">
        <v>2023</v>
      </c>
      <c r="D374" s="21">
        <f>SUM(E374:I374)</f>
        <v>658.1</v>
      </c>
      <c r="E374" s="14">
        <v>0</v>
      </c>
      <c r="F374" s="14">
        <v>0</v>
      </c>
      <c r="G374" s="14">
        <v>0</v>
      </c>
      <c r="H374" s="14">
        <v>658.1</v>
      </c>
      <c r="I374" s="14">
        <v>0</v>
      </c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</row>
    <row r="375" spans="1:219" s="6" customFormat="1" x14ac:dyDescent="0.3">
      <c r="A375" s="47"/>
      <c r="B375" s="62"/>
      <c r="C375" s="38">
        <v>2024</v>
      </c>
      <c r="D375" s="21">
        <f>SUM(E375:I375)</f>
        <v>420</v>
      </c>
      <c r="E375" s="14">
        <v>0</v>
      </c>
      <c r="F375" s="14">
        <v>0</v>
      </c>
      <c r="G375" s="14">
        <v>0</v>
      </c>
      <c r="H375" s="14">
        <v>420</v>
      </c>
      <c r="I375" s="14">
        <v>0</v>
      </c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</row>
    <row r="376" spans="1:219" s="6" customFormat="1" x14ac:dyDescent="0.3">
      <c r="A376" s="47"/>
      <c r="B376" s="62"/>
      <c r="C376" s="38">
        <v>2025</v>
      </c>
      <c r="D376" s="21">
        <f t="shared" ref="D376:D379" si="156">SUM(E376:I376)</f>
        <v>118.7</v>
      </c>
      <c r="E376" s="14">
        <v>0</v>
      </c>
      <c r="F376" s="14">
        <v>0</v>
      </c>
      <c r="G376" s="14">
        <v>0</v>
      </c>
      <c r="H376" s="14">
        <v>118.7</v>
      </c>
      <c r="I376" s="14">
        <v>0</v>
      </c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</row>
    <row r="377" spans="1:219" s="6" customFormat="1" x14ac:dyDescent="0.3">
      <c r="A377" s="47"/>
      <c r="B377" s="62"/>
      <c r="C377" s="38">
        <v>2026</v>
      </c>
      <c r="D377" s="21">
        <f t="shared" si="156"/>
        <v>0</v>
      </c>
      <c r="E377" s="14">
        <v>0</v>
      </c>
      <c r="F377" s="14">
        <v>0</v>
      </c>
      <c r="G377" s="14">
        <v>0</v>
      </c>
      <c r="H377" s="14">
        <v>0</v>
      </c>
      <c r="I377" s="14">
        <v>0</v>
      </c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</row>
    <row r="378" spans="1:219" s="6" customFormat="1" x14ac:dyDescent="0.3">
      <c r="A378" s="47"/>
      <c r="B378" s="62"/>
      <c r="C378" s="38">
        <v>2027</v>
      </c>
      <c r="D378" s="21">
        <f t="shared" si="156"/>
        <v>3000.8</v>
      </c>
      <c r="E378" s="14">
        <v>0</v>
      </c>
      <c r="F378" s="14">
        <v>0</v>
      </c>
      <c r="G378" s="14">
        <v>0</v>
      </c>
      <c r="H378" s="14">
        <v>3000.8</v>
      </c>
      <c r="I378" s="14">
        <v>0</v>
      </c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</row>
    <row r="379" spans="1:219" s="6" customFormat="1" x14ac:dyDescent="0.3">
      <c r="A379" s="47"/>
      <c r="B379" s="62"/>
      <c r="C379" s="38">
        <v>2028</v>
      </c>
      <c r="D379" s="21">
        <f t="shared" si="156"/>
        <v>0</v>
      </c>
      <c r="E379" s="14">
        <v>0</v>
      </c>
      <c r="F379" s="14">
        <v>0</v>
      </c>
      <c r="G379" s="14">
        <v>0</v>
      </c>
      <c r="H379" s="14">
        <v>0</v>
      </c>
      <c r="I379" s="14">
        <v>0</v>
      </c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</row>
    <row r="380" spans="1:219" s="6" customFormat="1" x14ac:dyDescent="0.3">
      <c r="A380" s="48"/>
      <c r="B380" s="62"/>
      <c r="C380" s="38" t="s">
        <v>16</v>
      </c>
      <c r="D380" s="21">
        <f t="shared" ref="D380:H380" si="157">SUM(D373:D379)</f>
        <v>5395.6</v>
      </c>
      <c r="E380" s="21">
        <f t="shared" si="157"/>
        <v>0</v>
      </c>
      <c r="F380" s="21">
        <f t="shared" si="157"/>
        <v>0</v>
      </c>
      <c r="G380" s="21">
        <f t="shared" si="157"/>
        <v>0</v>
      </c>
      <c r="H380" s="21">
        <f t="shared" si="157"/>
        <v>5395.6</v>
      </c>
      <c r="I380" s="21">
        <f>SUM(I373:I379)</f>
        <v>0</v>
      </c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</row>
    <row r="381" spans="1:219" s="6" customFormat="1" ht="18" customHeight="1" x14ac:dyDescent="0.3">
      <c r="A381" s="46" t="s">
        <v>52</v>
      </c>
      <c r="B381" s="49"/>
      <c r="C381" s="38">
        <v>2024</v>
      </c>
      <c r="D381" s="14">
        <f>SUM(E381:I381)</f>
        <v>121</v>
      </c>
      <c r="E381" s="14">
        <v>0</v>
      </c>
      <c r="F381" s="14">
        <v>0</v>
      </c>
      <c r="G381" s="14">
        <v>0</v>
      </c>
      <c r="H381" s="14">
        <v>121</v>
      </c>
      <c r="I381" s="14">
        <v>0</v>
      </c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</row>
    <row r="382" spans="1:219" s="6" customFormat="1" ht="23.25" customHeight="1" x14ac:dyDescent="0.3">
      <c r="A382" s="48"/>
      <c r="B382" s="51"/>
      <c r="C382" s="38" t="s">
        <v>16</v>
      </c>
      <c r="D382" s="14">
        <f t="shared" ref="D382:I382" si="158">SUM(D381:D381)</f>
        <v>121</v>
      </c>
      <c r="E382" s="14">
        <f t="shared" si="158"/>
        <v>0</v>
      </c>
      <c r="F382" s="14">
        <f t="shared" si="158"/>
        <v>0</v>
      </c>
      <c r="G382" s="14">
        <f t="shared" si="158"/>
        <v>0</v>
      </c>
      <c r="H382" s="14">
        <f t="shared" si="158"/>
        <v>121</v>
      </c>
      <c r="I382" s="14">
        <f t="shared" si="158"/>
        <v>0</v>
      </c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</row>
    <row r="383" spans="1:219" s="6" customFormat="1" ht="23.25" customHeight="1" x14ac:dyDescent="0.3">
      <c r="A383" s="46" t="s">
        <v>0</v>
      </c>
      <c r="B383" s="49"/>
      <c r="C383" s="38">
        <v>2024</v>
      </c>
      <c r="D383" s="14">
        <f>SUM(E383:I383)</f>
        <v>79.099999999999994</v>
      </c>
      <c r="E383" s="14">
        <v>0</v>
      </c>
      <c r="F383" s="14">
        <v>0</v>
      </c>
      <c r="G383" s="14">
        <v>0</v>
      </c>
      <c r="H383" s="14">
        <v>79.099999999999994</v>
      </c>
      <c r="I383" s="14">
        <v>0</v>
      </c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</row>
    <row r="384" spans="1:219" s="6" customFormat="1" ht="29.25" customHeight="1" x14ac:dyDescent="0.3">
      <c r="A384" s="48"/>
      <c r="B384" s="51"/>
      <c r="C384" s="38" t="s">
        <v>16</v>
      </c>
      <c r="D384" s="14">
        <f t="shared" ref="D384:I384" si="159">SUM(D383:D383)</f>
        <v>79.099999999999994</v>
      </c>
      <c r="E384" s="14">
        <f t="shared" si="159"/>
        <v>0</v>
      </c>
      <c r="F384" s="14">
        <f t="shared" si="159"/>
        <v>0</v>
      </c>
      <c r="G384" s="14">
        <f t="shared" si="159"/>
        <v>0</v>
      </c>
      <c r="H384" s="14">
        <f t="shared" si="159"/>
        <v>79.099999999999994</v>
      </c>
      <c r="I384" s="14">
        <f t="shared" si="159"/>
        <v>0</v>
      </c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</row>
    <row r="385" spans="1:219" s="6" customFormat="1" ht="18" customHeight="1" x14ac:dyDescent="0.3">
      <c r="A385" s="46" t="s">
        <v>41</v>
      </c>
      <c r="B385" s="50"/>
      <c r="C385" s="38">
        <v>2025</v>
      </c>
      <c r="D385" s="14">
        <f>SUM(E385:I385)</f>
        <v>41856.1</v>
      </c>
      <c r="E385" s="14">
        <v>0</v>
      </c>
      <c r="F385" s="14">
        <v>0</v>
      </c>
      <c r="G385" s="14">
        <v>38507.5</v>
      </c>
      <c r="H385" s="14">
        <f>3348.5+0.1</f>
        <v>3348.6</v>
      </c>
      <c r="I385" s="14">
        <v>0</v>
      </c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</row>
    <row r="386" spans="1:219" s="6" customFormat="1" ht="18" customHeight="1" x14ac:dyDescent="0.3">
      <c r="A386" s="47"/>
      <c r="B386" s="50"/>
      <c r="C386" s="38">
        <v>2026</v>
      </c>
      <c r="D386" s="14">
        <f>SUM(E386:I386)</f>
        <v>33017.299999999996</v>
      </c>
      <c r="E386" s="14">
        <v>0</v>
      </c>
      <c r="F386" s="14">
        <v>0</v>
      </c>
      <c r="G386" s="14">
        <f>6061.1+23984.6</f>
        <v>30045.699999999997</v>
      </c>
      <c r="H386" s="14">
        <f>599.5+2108.6+263.5</f>
        <v>2971.6</v>
      </c>
      <c r="I386" s="14">
        <v>0</v>
      </c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</row>
    <row r="387" spans="1:219" s="6" customFormat="1" ht="18" customHeight="1" x14ac:dyDescent="0.3">
      <c r="A387" s="48"/>
      <c r="B387" s="51"/>
      <c r="C387" s="38" t="s">
        <v>16</v>
      </c>
      <c r="D387" s="14">
        <f t="shared" ref="D387:I387" si="160">SUM(D385:D386)</f>
        <v>74873.399999999994</v>
      </c>
      <c r="E387" s="14">
        <f t="shared" si="160"/>
        <v>0</v>
      </c>
      <c r="F387" s="14">
        <f t="shared" si="160"/>
        <v>0</v>
      </c>
      <c r="G387" s="14">
        <f t="shared" si="160"/>
        <v>68553.2</v>
      </c>
      <c r="H387" s="14">
        <f t="shared" si="160"/>
        <v>6320.2</v>
      </c>
      <c r="I387" s="14">
        <f t="shared" si="160"/>
        <v>0</v>
      </c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</row>
    <row r="388" spans="1:219" s="6" customFormat="1" ht="27.75" customHeight="1" x14ac:dyDescent="0.3">
      <c r="A388" s="46" t="s">
        <v>84</v>
      </c>
      <c r="B388" s="50"/>
      <c r="C388" s="38">
        <v>2025</v>
      </c>
      <c r="D388" s="14">
        <f>SUM(E388:I388)</f>
        <v>1700</v>
      </c>
      <c r="E388" s="14">
        <v>0</v>
      </c>
      <c r="F388" s="14">
        <v>0</v>
      </c>
      <c r="G388" s="14">
        <f>3477.6-901.6-1012</f>
        <v>1564</v>
      </c>
      <c r="H388" s="14">
        <f>302.4-78.4-88</f>
        <v>135.99999999999997</v>
      </c>
      <c r="I388" s="14">
        <v>0</v>
      </c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</row>
    <row r="389" spans="1:219" s="6" customFormat="1" ht="30.75" customHeight="1" x14ac:dyDescent="0.3">
      <c r="A389" s="48"/>
      <c r="B389" s="51"/>
      <c r="C389" s="38" t="s">
        <v>16</v>
      </c>
      <c r="D389" s="14">
        <f t="shared" ref="D389:I389" si="161">SUM(D388:D388)</f>
        <v>1700</v>
      </c>
      <c r="E389" s="14">
        <f t="shared" si="161"/>
        <v>0</v>
      </c>
      <c r="F389" s="14">
        <f t="shared" si="161"/>
        <v>0</v>
      </c>
      <c r="G389" s="14">
        <f t="shared" si="161"/>
        <v>1564</v>
      </c>
      <c r="H389" s="14">
        <f t="shared" si="161"/>
        <v>135.99999999999997</v>
      </c>
      <c r="I389" s="14">
        <f t="shared" si="161"/>
        <v>0</v>
      </c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</row>
    <row r="390" spans="1:219" s="6" customFormat="1" x14ac:dyDescent="0.3">
      <c r="A390" s="39" t="s">
        <v>76</v>
      </c>
      <c r="B390" s="16"/>
      <c r="C390" s="17"/>
      <c r="D390" s="18"/>
      <c r="E390" s="19"/>
      <c r="F390" s="19"/>
      <c r="G390" s="19"/>
      <c r="H390" s="19"/>
      <c r="I390" s="20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</row>
    <row r="391" spans="1:219" s="6" customFormat="1" x14ac:dyDescent="0.3">
      <c r="A391" s="52" t="s">
        <v>16</v>
      </c>
      <c r="B391" s="45"/>
      <c r="C391" s="37">
        <v>2022</v>
      </c>
      <c r="D391" s="15">
        <f>SUM(E391:I391)</f>
        <v>995.7</v>
      </c>
      <c r="E391" s="15">
        <f t="shared" ref="E391:I392" si="162">E395+E398+E402+E405</f>
        <v>0</v>
      </c>
      <c r="F391" s="15">
        <f t="shared" si="162"/>
        <v>0</v>
      </c>
      <c r="G391" s="15">
        <f t="shared" si="162"/>
        <v>995.7</v>
      </c>
      <c r="H391" s="15">
        <f t="shared" si="162"/>
        <v>0</v>
      </c>
      <c r="I391" s="15">
        <f t="shared" si="162"/>
        <v>0</v>
      </c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</row>
    <row r="392" spans="1:219" s="6" customFormat="1" x14ac:dyDescent="0.3">
      <c r="A392" s="53"/>
      <c r="B392" s="45"/>
      <c r="C392" s="37">
        <v>2023</v>
      </c>
      <c r="D392" s="15">
        <f t="shared" ref="D392:D393" si="163">SUM(E392:I392)</f>
        <v>1694.8</v>
      </c>
      <c r="E392" s="15">
        <f t="shared" si="162"/>
        <v>0</v>
      </c>
      <c r="F392" s="15">
        <f t="shared" si="162"/>
        <v>0</v>
      </c>
      <c r="G392" s="15">
        <f t="shared" si="162"/>
        <v>0</v>
      </c>
      <c r="H392" s="15">
        <f t="shared" si="162"/>
        <v>1694.8</v>
      </c>
      <c r="I392" s="15">
        <f t="shared" si="162"/>
        <v>0</v>
      </c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</row>
    <row r="393" spans="1:219" s="6" customFormat="1" x14ac:dyDescent="0.3">
      <c r="A393" s="53"/>
      <c r="B393" s="45"/>
      <c r="C393" s="37">
        <v>2025</v>
      </c>
      <c r="D393" s="15">
        <f t="shared" si="163"/>
        <v>830.7</v>
      </c>
      <c r="E393" s="15">
        <f t="shared" ref="E393:G393" si="164">E400</f>
        <v>0</v>
      </c>
      <c r="F393" s="15">
        <f t="shared" si="164"/>
        <v>0</v>
      </c>
      <c r="G393" s="15">
        <f t="shared" si="164"/>
        <v>0</v>
      </c>
      <c r="H393" s="15">
        <f>H400</f>
        <v>830.7</v>
      </c>
      <c r="I393" s="15">
        <f>I400</f>
        <v>0</v>
      </c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</row>
    <row r="394" spans="1:219" s="6" customFormat="1" x14ac:dyDescent="0.3">
      <c r="A394" s="54"/>
      <c r="B394" s="45"/>
      <c r="C394" s="37" t="s">
        <v>16</v>
      </c>
      <c r="D394" s="15">
        <f t="shared" ref="D394:I394" si="165">SUM(D391:D393)</f>
        <v>3521.2</v>
      </c>
      <c r="E394" s="15">
        <f t="shared" si="165"/>
        <v>0</v>
      </c>
      <c r="F394" s="15">
        <f t="shared" si="165"/>
        <v>0</v>
      </c>
      <c r="G394" s="15">
        <f t="shared" si="165"/>
        <v>995.7</v>
      </c>
      <c r="H394" s="15">
        <f t="shared" si="165"/>
        <v>2525.5</v>
      </c>
      <c r="I394" s="15">
        <f t="shared" si="165"/>
        <v>0</v>
      </c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</row>
    <row r="395" spans="1:219" s="6" customFormat="1" x14ac:dyDescent="0.3">
      <c r="A395" s="46" t="s">
        <v>67</v>
      </c>
      <c r="B395" s="62"/>
      <c r="C395" s="38">
        <v>2022</v>
      </c>
      <c r="D395" s="14">
        <f>SUM(E395:I395)</f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</row>
    <row r="396" spans="1:219" s="6" customFormat="1" x14ac:dyDescent="0.3">
      <c r="A396" s="47"/>
      <c r="B396" s="62"/>
      <c r="C396" s="38">
        <v>2023</v>
      </c>
      <c r="D396" s="14">
        <f>SUM(E396:I396)</f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0</v>
      </c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</row>
    <row r="397" spans="1:219" s="6" customFormat="1" x14ac:dyDescent="0.3">
      <c r="A397" s="48"/>
      <c r="B397" s="62"/>
      <c r="C397" s="38" t="s">
        <v>16</v>
      </c>
      <c r="D397" s="14">
        <f>SUM(D395:D396)</f>
        <v>0</v>
      </c>
      <c r="E397" s="14">
        <f t="shared" ref="E397:I397" si="166">SUM(E395:E396)</f>
        <v>0</v>
      </c>
      <c r="F397" s="14">
        <f t="shared" si="166"/>
        <v>0</v>
      </c>
      <c r="G397" s="14">
        <f t="shared" si="166"/>
        <v>0</v>
      </c>
      <c r="H397" s="14">
        <f t="shared" si="166"/>
        <v>0</v>
      </c>
      <c r="I397" s="14">
        <f t="shared" si="166"/>
        <v>0</v>
      </c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</row>
    <row r="398" spans="1:219" s="6" customFormat="1" ht="18.75" customHeight="1" x14ac:dyDescent="0.3">
      <c r="A398" s="46" t="s">
        <v>49</v>
      </c>
      <c r="B398" s="62"/>
      <c r="C398" s="38">
        <v>2022</v>
      </c>
      <c r="D398" s="14">
        <f>SUM(E398:I398)</f>
        <v>0</v>
      </c>
      <c r="E398" s="14">
        <v>0</v>
      </c>
      <c r="F398" s="14">
        <v>0</v>
      </c>
      <c r="G398" s="14">
        <v>0</v>
      </c>
      <c r="H398" s="14">
        <v>0</v>
      </c>
      <c r="I398" s="14">
        <v>0</v>
      </c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</row>
    <row r="399" spans="1:219" s="6" customFormat="1" x14ac:dyDescent="0.3">
      <c r="A399" s="47"/>
      <c r="B399" s="62"/>
      <c r="C399" s="38">
        <v>2023</v>
      </c>
      <c r="D399" s="14">
        <f>SUM(E399:I399)</f>
        <v>1694.8</v>
      </c>
      <c r="E399" s="14">
        <v>0</v>
      </c>
      <c r="F399" s="14">
        <v>0</v>
      </c>
      <c r="G399" s="14">
        <v>0</v>
      </c>
      <c r="H399" s="14">
        <f>967.3+727.5</f>
        <v>1694.8</v>
      </c>
      <c r="I399" s="14">
        <v>0</v>
      </c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</row>
    <row r="400" spans="1:219" s="6" customFormat="1" x14ac:dyDescent="0.3">
      <c r="A400" s="47"/>
      <c r="B400" s="62"/>
      <c r="C400" s="38">
        <v>2025</v>
      </c>
      <c r="D400" s="14">
        <f t="shared" ref="D400" si="167">SUM(E400:I400)</f>
        <v>830.7</v>
      </c>
      <c r="E400" s="14">
        <v>0</v>
      </c>
      <c r="F400" s="14">
        <v>0</v>
      </c>
      <c r="G400" s="14">
        <v>0</v>
      </c>
      <c r="H400" s="14">
        <f>572+258.7</f>
        <v>830.7</v>
      </c>
      <c r="I400" s="14">
        <v>0</v>
      </c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</row>
    <row r="401" spans="1:219" s="6" customFormat="1" x14ac:dyDescent="0.3">
      <c r="A401" s="48"/>
      <c r="B401" s="62"/>
      <c r="C401" s="38" t="s">
        <v>16</v>
      </c>
      <c r="D401" s="14">
        <f t="shared" ref="D401:I401" si="168">SUM(D398:D400)</f>
        <v>2525.5</v>
      </c>
      <c r="E401" s="14">
        <f t="shared" si="168"/>
        <v>0</v>
      </c>
      <c r="F401" s="14">
        <f t="shared" si="168"/>
        <v>0</v>
      </c>
      <c r="G401" s="14">
        <f t="shared" si="168"/>
        <v>0</v>
      </c>
      <c r="H401" s="14">
        <f t="shared" si="168"/>
        <v>2525.5</v>
      </c>
      <c r="I401" s="14">
        <f t="shared" si="168"/>
        <v>0</v>
      </c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</row>
    <row r="402" spans="1:219" s="6" customFormat="1" x14ac:dyDescent="0.3">
      <c r="A402" s="46" t="s">
        <v>68</v>
      </c>
      <c r="B402" s="62"/>
      <c r="C402" s="38">
        <v>2022</v>
      </c>
      <c r="D402" s="14">
        <f>SUM(E402:I402)</f>
        <v>0</v>
      </c>
      <c r="E402" s="14">
        <v>0</v>
      </c>
      <c r="F402" s="14">
        <v>0</v>
      </c>
      <c r="G402" s="14">
        <v>0</v>
      </c>
      <c r="H402" s="14">
        <v>0</v>
      </c>
      <c r="I402" s="14">
        <v>0</v>
      </c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</row>
    <row r="403" spans="1:219" s="6" customFormat="1" x14ac:dyDescent="0.3">
      <c r="A403" s="47"/>
      <c r="B403" s="62"/>
      <c r="C403" s="38">
        <v>2023</v>
      </c>
      <c r="D403" s="14">
        <f>SUM(E403:I403)</f>
        <v>0</v>
      </c>
      <c r="E403" s="14">
        <v>0</v>
      </c>
      <c r="F403" s="14">
        <v>0</v>
      </c>
      <c r="G403" s="14">
        <v>0</v>
      </c>
      <c r="H403" s="14">
        <v>0</v>
      </c>
      <c r="I403" s="14">
        <v>0</v>
      </c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</row>
    <row r="404" spans="1:219" s="6" customFormat="1" x14ac:dyDescent="0.3">
      <c r="A404" s="48"/>
      <c r="B404" s="62"/>
      <c r="C404" s="38" t="s">
        <v>16</v>
      </c>
      <c r="D404" s="14">
        <f>SUM(D402:D403)</f>
        <v>0</v>
      </c>
      <c r="E404" s="14">
        <f t="shared" ref="E404:I404" si="169">SUM(E402:E403)</f>
        <v>0</v>
      </c>
      <c r="F404" s="14">
        <f t="shared" si="169"/>
        <v>0</v>
      </c>
      <c r="G404" s="14">
        <f t="shared" si="169"/>
        <v>0</v>
      </c>
      <c r="H404" s="14">
        <f t="shared" si="169"/>
        <v>0</v>
      </c>
      <c r="I404" s="14">
        <f t="shared" si="169"/>
        <v>0</v>
      </c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</row>
    <row r="405" spans="1:219" s="6" customFormat="1" ht="18.75" customHeight="1" x14ac:dyDescent="0.3">
      <c r="A405" s="46" t="s">
        <v>50</v>
      </c>
      <c r="B405" s="62"/>
      <c r="C405" s="38">
        <v>2022</v>
      </c>
      <c r="D405" s="14">
        <f>SUM(E405:I405)</f>
        <v>995.7</v>
      </c>
      <c r="E405" s="14">
        <v>0</v>
      </c>
      <c r="F405" s="14">
        <v>0</v>
      </c>
      <c r="G405" s="14">
        <v>995.7</v>
      </c>
      <c r="H405" s="14">
        <v>0</v>
      </c>
      <c r="I405" s="14">
        <v>0</v>
      </c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</row>
    <row r="406" spans="1:219" s="6" customFormat="1" x14ac:dyDescent="0.3">
      <c r="A406" s="47"/>
      <c r="B406" s="62"/>
      <c r="C406" s="38">
        <v>2023</v>
      </c>
      <c r="D406" s="14">
        <f>SUM(E406:I406)</f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v>0</v>
      </c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</row>
    <row r="407" spans="1:219" s="6" customFormat="1" ht="21" customHeight="1" x14ac:dyDescent="0.3">
      <c r="A407" s="48"/>
      <c r="B407" s="62"/>
      <c r="C407" s="38" t="s">
        <v>16</v>
      </c>
      <c r="D407" s="14">
        <f t="shared" ref="D407:I407" si="170">SUM(D405:D406)</f>
        <v>995.7</v>
      </c>
      <c r="E407" s="14">
        <f t="shared" si="170"/>
        <v>0</v>
      </c>
      <c r="F407" s="14">
        <f t="shared" si="170"/>
        <v>0</v>
      </c>
      <c r="G407" s="14">
        <f t="shared" si="170"/>
        <v>995.7</v>
      </c>
      <c r="H407" s="14">
        <f t="shared" si="170"/>
        <v>0</v>
      </c>
      <c r="I407" s="14">
        <f t="shared" si="170"/>
        <v>0</v>
      </c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</row>
    <row r="408" spans="1:219" s="6" customFormat="1" x14ac:dyDescent="0.3">
      <c r="A408" s="39" t="s">
        <v>77</v>
      </c>
      <c r="B408" s="16"/>
      <c r="C408" s="17"/>
      <c r="D408" s="18"/>
      <c r="E408" s="19"/>
      <c r="F408" s="19"/>
      <c r="G408" s="19"/>
      <c r="H408" s="19"/>
      <c r="I408" s="20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</row>
    <row r="409" spans="1:219" s="6" customFormat="1" x14ac:dyDescent="0.3">
      <c r="A409" s="55" t="s">
        <v>16</v>
      </c>
      <c r="B409" s="45"/>
      <c r="C409" s="37">
        <v>2022</v>
      </c>
      <c r="D409" s="15">
        <f t="shared" ref="D409:I415" si="171">D417</f>
        <v>41170.199999999997</v>
      </c>
      <c r="E409" s="15">
        <f t="shared" si="171"/>
        <v>0</v>
      </c>
      <c r="F409" s="15">
        <f t="shared" si="171"/>
        <v>0</v>
      </c>
      <c r="G409" s="15">
        <f t="shared" si="171"/>
        <v>0</v>
      </c>
      <c r="H409" s="15">
        <f t="shared" si="171"/>
        <v>41170.199999999997</v>
      </c>
      <c r="I409" s="15">
        <f t="shared" si="171"/>
        <v>0</v>
      </c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</row>
    <row r="410" spans="1:219" s="6" customFormat="1" x14ac:dyDescent="0.3">
      <c r="A410" s="55"/>
      <c r="B410" s="45"/>
      <c r="C410" s="37">
        <v>2023</v>
      </c>
      <c r="D410" s="15">
        <f t="shared" si="171"/>
        <v>43688.6</v>
      </c>
      <c r="E410" s="15">
        <f t="shared" si="171"/>
        <v>0</v>
      </c>
      <c r="F410" s="15">
        <f t="shared" si="171"/>
        <v>0</v>
      </c>
      <c r="G410" s="15">
        <f t="shared" si="171"/>
        <v>0</v>
      </c>
      <c r="H410" s="15">
        <f t="shared" si="171"/>
        <v>43688.6</v>
      </c>
      <c r="I410" s="15">
        <f t="shared" si="171"/>
        <v>0</v>
      </c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</row>
    <row r="411" spans="1:219" s="6" customFormat="1" x14ac:dyDescent="0.3">
      <c r="A411" s="55"/>
      <c r="B411" s="45"/>
      <c r="C411" s="37">
        <v>2024</v>
      </c>
      <c r="D411" s="15">
        <f t="shared" si="171"/>
        <v>49854.7</v>
      </c>
      <c r="E411" s="15">
        <f t="shared" si="171"/>
        <v>0</v>
      </c>
      <c r="F411" s="15">
        <f t="shared" si="171"/>
        <v>0</v>
      </c>
      <c r="G411" s="15">
        <f t="shared" si="171"/>
        <v>0</v>
      </c>
      <c r="H411" s="15">
        <f t="shared" si="171"/>
        <v>49854.7</v>
      </c>
      <c r="I411" s="15">
        <f t="shared" si="171"/>
        <v>0</v>
      </c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</row>
    <row r="412" spans="1:219" s="6" customFormat="1" x14ac:dyDescent="0.3">
      <c r="A412" s="55"/>
      <c r="B412" s="45"/>
      <c r="C412" s="37">
        <v>2025</v>
      </c>
      <c r="D412" s="15">
        <f t="shared" si="171"/>
        <v>61742.1</v>
      </c>
      <c r="E412" s="15">
        <f t="shared" si="171"/>
        <v>0</v>
      </c>
      <c r="F412" s="15">
        <f t="shared" si="171"/>
        <v>0</v>
      </c>
      <c r="G412" s="15">
        <f t="shared" si="171"/>
        <v>0</v>
      </c>
      <c r="H412" s="15">
        <f t="shared" si="171"/>
        <v>61742.1</v>
      </c>
      <c r="I412" s="15">
        <f t="shared" si="171"/>
        <v>0</v>
      </c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</row>
    <row r="413" spans="1:219" s="6" customFormat="1" x14ac:dyDescent="0.3">
      <c r="A413" s="55"/>
      <c r="B413" s="45"/>
      <c r="C413" s="37">
        <v>2026</v>
      </c>
      <c r="D413" s="15">
        <f t="shared" si="171"/>
        <v>49864.500000000007</v>
      </c>
      <c r="E413" s="15">
        <f t="shared" si="171"/>
        <v>0</v>
      </c>
      <c r="F413" s="15">
        <f t="shared" si="171"/>
        <v>0</v>
      </c>
      <c r="G413" s="15">
        <f t="shared" si="171"/>
        <v>0</v>
      </c>
      <c r="H413" s="15">
        <f t="shared" si="171"/>
        <v>49864.500000000007</v>
      </c>
      <c r="I413" s="15">
        <f t="shared" si="171"/>
        <v>0</v>
      </c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</row>
    <row r="414" spans="1:219" s="6" customFormat="1" x14ac:dyDescent="0.3">
      <c r="A414" s="55"/>
      <c r="B414" s="45"/>
      <c r="C414" s="37">
        <v>2027</v>
      </c>
      <c r="D414" s="15">
        <f t="shared" si="171"/>
        <v>44887.8</v>
      </c>
      <c r="E414" s="15">
        <f t="shared" si="171"/>
        <v>0</v>
      </c>
      <c r="F414" s="15">
        <f t="shared" si="171"/>
        <v>0</v>
      </c>
      <c r="G414" s="15">
        <f t="shared" si="171"/>
        <v>0</v>
      </c>
      <c r="H414" s="15">
        <f>H422</f>
        <v>44887.8</v>
      </c>
      <c r="I414" s="15">
        <f>I422</f>
        <v>0</v>
      </c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</row>
    <row r="415" spans="1:219" s="6" customFormat="1" x14ac:dyDescent="0.3">
      <c r="A415" s="55"/>
      <c r="B415" s="45"/>
      <c r="C415" s="37">
        <v>2028</v>
      </c>
      <c r="D415" s="15">
        <f t="shared" si="171"/>
        <v>44892.800000000003</v>
      </c>
      <c r="E415" s="15">
        <f t="shared" si="171"/>
        <v>0</v>
      </c>
      <c r="F415" s="15">
        <f t="shared" si="171"/>
        <v>0</v>
      </c>
      <c r="G415" s="15">
        <f t="shared" si="171"/>
        <v>0</v>
      </c>
      <c r="H415" s="15">
        <f t="shared" si="171"/>
        <v>44892.800000000003</v>
      </c>
      <c r="I415" s="15">
        <f>I423</f>
        <v>0</v>
      </c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</row>
    <row r="416" spans="1:219" s="6" customFormat="1" x14ac:dyDescent="0.3">
      <c r="A416" s="55"/>
      <c r="B416" s="45"/>
      <c r="C416" s="37" t="s">
        <v>16</v>
      </c>
      <c r="D416" s="15">
        <f t="shared" ref="D416:H416" si="172">SUM(D409:D415)</f>
        <v>336100.7</v>
      </c>
      <c r="E416" s="15">
        <f t="shared" si="172"/>
        <v>0</v>
      </c>
      <c r="F416" s="15">
        <f t="shared" si="172"/>
        <v>0</v>
      </c>
      <c r="G416" s="15">
        <f t="shared" si="172"/>
        <v>0</v>
      </c>
      <c r="H416" s="15">
        <f t="shared" si="172"/>
        <v>336100.7</v>
      </c>
      <c r="I416" s="15">
        <f>SUM(I409:I415)</f>
        <v>0</v>
      </c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</row>
    <row r="417" spans="1:219" s="6" customFormat="1" x14ac:dyDescent="0.3">
      <c r="A417" s="46" t="s">
        <v>51</v>
      </c>
      <c r="B417" s="62"/>
      <c r="C417" s="38">
        <v>2022</v>
      </c>
      <c r="D417" s="14">
        <f t="shared" ref="D417:D422" si="173">SUM(E417:I417)</f>
        <v>41170.199999999997</v>
      </c>
      <c r="E417" s="14">
        <v>0</v>
      </c>
      <c r="F417" s="14">
        <v>0</v>
      </c>
      <c r="G417" s="14">
        <v>0</v>
      </c>
      <c r="H417" s="14">
        <v>41170.199999999997</v>
      </c>
      <c r="I417" s="14">
        <v>0</v>
      </c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</row>
    <row r="418" spans="1:219" s="6" customFormat="1" x14ac:dyDescent="0.3">
      <c r="A418" s="47"/>
      <c r="B418" s="62"/>
      <c r="C418" s="38">
        <v>2023</v>
      </c>
      <c r="D418" s="14">
        <f t="shared" si="173"/>
        <v>43688.6</v>
      </c>
      <c r="E418" s="14">
        <v>0</v>
      </c>
      <c r="F418" s="14">
        <v>0</v>
      </c>
      <c r="G418" s="14">
        <v>0</v>
      </c>
      <c r="H418" s="14">
        <v>43688.6</v>
      </c>
      <c r="I418" s="14">
        <v>0</v>
      </c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</row>
    <row r="419" spans="1:219" s="6" customFormat="1" x14ac:dyDescent="0.3">
      <c r="A419" s="47"/>
      <c r="B419" s="62"/>
      <c r="C419" s="38">
        <v>2024</v>
      </c>
      <c r="D419" s="14">
        <f t="shared" si="173"/>
        <v>49854.7</v>
      </c>
      <c r="E419" s="14">
        <v>0</v>
      </c>
      <c r="F419" s="14">
        <v>0</v>
      </c>
      <c r="G419" s="14">
        <v>0</v>
      </c>
      <c r="H419" s="14">
        <v>49854.7</v>
      </c>
      <c r="I419" s="14">
        <v>0</v>
      </c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</row>
    <row r="420" spans="1:219" s="6" customFormat="1" x14ac:dyDescent="0.3">
      <c r="A420" s="47"/>
      <c r="B420" s="62"/>
      <c r="C420" s="38">
        <v>2025</v>
      </c>
      <c r="D420" s="14">
        <f t="shared" si="173"/>
        <v>61742.1</v>
      </c>
      <c r="E420" s="14">
        <v>0</v>
      </c>
      <c r="F420" s="14">
        <v>0</v>
      </c>
      <c r="G420" s="14">
        <v>0</v>
      </c>
      <c r="H420" s="14">
        <f>59914+1828.1</f>
        <v>61742.1</v>
      </c>
      <c r="I420" s="14">
        <v>0</v>
      </c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</row>
    <row r="421" spans="1:219" s="6" customFormat="1" x14ac:dyDescent="0.3">
      <c r="A421" s="47"/>
      <c r="B421" s="62"/>
      <c r="C421" s="38">
        <v>2026</v>
      </c>
      <c r="D421" s="14">
        <f t="shared" si="173"/>
        <v>49864.500000000007</v>
      </c>
      <c r="E421" s="14">
        <v>0</v>
      </c>
      <c r="F421" s="14">
        <v>0</v>
      </c>
      <c r="G421" s="14">
        <v>0</v>
      </c>
      <c r="H421" s="14">
        <f>64889.4-15025.1+0.3-0.1</f>
        <v>49864.500000000007</v>
      </c>
      <c r="I421" s="14">
        <v>0</v>
      </c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</row>
    <row r="422" spans="1:219" s="6" customFormat="1" x14ac:dyDescent="0.3">
      <c r="A422" s="47"/>
      <c r="B422" s="62"/>
      <c r="C422" s="38">
        <v>2027</v>
      </c>
      <c r="D422" s="14">
        <f t="shared" si="173"/>
        <v>44887.8</v>
      </c>
      <c r="E422" s="14">
        <v>0</v>
      </c>
      <c r="F422" s="14">
        <v>0</v>
      </c>
      <c r="G422" s="14">
        <v>0</v>
      </c>
      <c r="H422" s="14">
        <f>63354.5-18466.7</f>
        <v>44887.8</v>
      </c>
      <c r="I422" s="14">
        <v>0</v>
      </c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</row>
    <row r="423" spans="1:219" s="6" customFormat="1" x14ac:dyDescent="0.3">
      <c r="A423" s="47"/>
      <c r="B423" s="62"/>
      <c r="C423" s="38">
        <v>2028</v>
      </c>
      <c r="D423" s="14">
        <f>SUM(E423:I423)</f>
        <v>44892.800000000003</v>
      </c>
      <c r="E423" s="14">
        <v>0</v>
      </c>
      <c r="F423" s="14">
        <v>0</v>
      </c>
      <c r="G423" s="14">
        <v>0</v>
      </c>
      <c r="H423" s="14">
        <f>63359.5-18466.7</f>
        <v>44892.800000000003</v>
      </c>
      <c r="I423" s="14">
        <v>0</v>
      </c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</row>
    <row r="424" spans="1:219" s="6" customFormat="1" x14ac:dyDescent="0.3">
      <c r="A424" s="48"/>
      <c r="B424" s="62"/>
      <c r="C424" s="38" t="s">
        <v>16</v>
      </c>
      <c r="D424" s="14">
        <f t="shared" ref="D424:H424" si="174">SUM(D417:D423)</f>
        <v>336100.7</v>
      </c>
      <c r="E424" s="14">
        <f t="shared" si="174"/>
        <v>0</v>
      </c>
      <c r="F424" s="14">
        <f t="shared" si="174"/>
        <v>0</v>
      </c>
      <c r="G424" s="14">
        <f t="shared" si="174"/>
        <v>0</v>
      </c>
      <c r="H424" s="14">
        <f t="shared" si="174"/>
        <v>336100.7</v>
      </c>
      <c r="I424" s="14">
        <f>SUM(I417:I423)</f>
        <v>0</v>
      </c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</row>
    <row r="425" spans="1:219" s="6" customFormat="1" x14ac:dyDescent="0.3">
      <c r="A425" s="39" t="s">
        <v>98</v>
      </c>
      <c r="B425" s="16"/>
      <c r="C425" s="17"/>
      <c r="D425" s="18"/>
      <c r="E425" s="19"/>
      <c r="F425" s="19"/>
      <c r="G425" s="19"/>
      <c r="H425" s="19"/>
      <c r="I425" s="20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</row>
    <row r="426" spans="1:219" s="6" customFormat="1" ht="19.5" customHeight="1" x14ac:dyDescent="0.3">
      <c r="A426" s="52" t="s">
        <v>16</v>
      </c>
      <c r="B426" s="45"/>
      <c r="C426" s="37">
        <v>2027</v>
      </c>
      <c r="D426" s="15">
        <f t="shared" ref="D426:I426" si="175">D428</f>
        <v>6001.1</v>
      </c>
      <c r="E426" s="15">
        <f t="shared" si="175"/>
        <v>0</v>
      </c>
      <c r="F426" s="15">
        <f t="shared" si="175"/>
        <v>0</v>
      </c>
      <c r="G426" s="15">
        <f t="shared" si="175"/>
        <v>0</v>
      </c>
      <c r="H426" s="15">
        <f t="shared" si="175"/>
        <v>6001.1</v>
      </c>
      <c r="I426" s="15">
        <f t="shared" si="175"/>
        <v>0</v>
      </c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</row>
    <row r="427" spans="1:219" s="6" customFormat="1" ht="28.5" customHeight="1" x14ac:dyDescent="0.3">
      <c r="A427" s="54"/>
      <c r="B427" s="45"/>
      <c r="C427" s="37" t="s">
        <v>16</v>
      </c>
      <c r="D427" s="15">
        <f t="shared" ref="D427:I427" si="176">SUM(D426:D426)</f>
        <v>6001.1</v>
      </c>
      <c r="E427" s="15">
        <f t="shared" si="176"/>
        <v>0</v>
      </c>
      <c r="F427" s="15">
        <f t="shared" si="176"/>
        <v>0</v>
      </c>
      <c r="G427" s="15">
        <f t="shared" si="176"/>
        <v>0</v>
      </c>
      <c r="H427" s="15">
        <f t="shared" si="176"/>
        <v>6001.1</v>
      </c>
      <c r="I427" s="15">
        <f t="shared" si="176"/>
        <v>0</v>
      </c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</row>
    <row r="428" spans="1:219" s="6" customFormat="1" ht="21.75" customHeight="1" x14ac:dyDescent="0.3">
      <c r="A428" s="46" t="s">
        <v>94</v>
      </c>
      <c r="B428" s="62"/>
      <c r="C428" s="38">
        <v>2027</v>
      </c>
      <c r="D428" s="14">
        <f t="shared" ref="D428" si="177">SUM(E428:I428)</f>
        <v>6001.1</v>
      </c>
      <c r="E428" s="14">
        <v>0</v>
      </c>
      <c r="F428" s="14">
        <v>0</v>
      </c>
      <c r="G428" s="14">
        <v>0</v>
      </c>
      <c r="H428" s="14">
        <v>6001.1</v>
      </c>
      <c r="I428" s="14">
        <v>0</v>
      </c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</row>
    <row r="429" spans="1:219" s="6" customFormat="1" ht="33.75" customHeight="1" x14ac:dyDescent="0.3">
      <c r="A429" s="48"/>
      <c r="B429" s="62"/>
      <c r="C429" s="38" t="s">
        <v>16</v>
      </c>
      <c r="D429" s="14">
        <f t="shared" ref="D429:I429" si="178">SUM(D428:D428)</f>
        <v>6001.1</v>
      </c>
      <c r="E429" s="14">
        <f t="shared" si="178"/>
        <v>0</v>
      </c>
      <c r="F429" s="14">
        <f t="shared" si="178"/>
        <v>0</v>
      </c>
      <c r="G429" s="14">
        <f t="shared" si="178"/>
        <v>0</v>
      </c>
      <c r="H429" s="14">
        <f t="shared" si="178"/>
        <v>6001.1</v>
      </c>
      <c r="I429" s="14">
        <f t="shared" si="178"/>
        <v>0</v>
      </c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</row>
  </sheetData>
  <mergeCells count="191">
    <mergeCell ref="A428:A429"/>
    <mergeCell ref="B428:B429"/>
    <mergeCell ref="A409:A416"/>
    <mergeCell ref="B409:B416"/>
    <mergeCell ref="A417:A424"/>
    <mergeCell ref="B417:B424"/>
    <mergeCell ref="A426:A427"/>
    <mergeCell ref="B426:B427"/>
    <mergeCell ref="A398:A401"/>
    <mergeCell ref="B398:B401"/>
    <mergeCell ref="A402:A404"/>
    <mergeCell ref="B402:B404"/>
    <mergeCell ref="A405:A407"/>
    <mergeCell ref="B405:B407"/>
    <mergeCell ref="A388:A389"/>
    <mergeCell ref="B388:B389"/>
    <mergeCell ref="A391:A394"/>
    <mergeCell ref="B391:B394"/>
    <mergeCell ref="A395:A397"/>
    <mergeCell ref="B395:B397"/>
    <mergeCell ref="A381:A382"/>
    <mergeCell ref="B381:B382"/>
    <mergeCell ref="A383:A384"/>
    <mergeCell ref="B383:B384"/>
    <mergeCell ref="A385:A387"/>
    <mergeCell ref="B385:B387"/>
    <mergeCell ref="A357:A364"/>
    <mergeCell ref="B357:B364"/>
    <mergeCell ref="A365:A372"/>
    <mergeCell ref="B365:B372"/>
    <mergeCell ref="A373:A380"/>
    <mergeCell ref="B373:B380"/>
    <mergeCell ref="A339:I339"/>
    <mergeCell ref="A340:A345"/>
    <mergeCell ref="B340:B345"/>
    <mergeCell ref="A346:A351"/>
    <mergeCell ref="B346:B351"/>
    <mergeCell ref="A352:A355"/>
    <mergeCell ref="B352:B355"/>
    <mergeCell ref="A332:A333"/>
    <mergeCell ref="B332:B333"/>
    <mergeCell ref="A334:A335"/>
    <mergeCell ref="B334:B335"/>
    <mergeCell ref="A336:A338"/>
    <mergeCell ref="B336:B338"/>
    <mergeCell ref="A323:A325"/>
    <mergeCell ref="B323:B325"/>
    <mergeCell ref="A326:A329"/>
    <mergeCell ref="B326:B329"/>
    <mergeCell ref="A330:A331"/>
    <mergeCell ref="B330:B331"/>
    <mergeCell ref="A302:A309"/>
    <mergeCell ref="B302:B309"/>
    <mergeCell ref="A311:A316"/>
    <mergeCell ref="B311:B316"/>
    <mergeCell ref="A317:A322"/>
    <mergeCell ref="B317:B322"/>
    <mergeCell ref="A286:A288"/>
    <mergeCell ref="B286:B288"/>
    <mergeCell ref="A289:A292"/>
    <mergeCell ref="B289:B292"/>
    <mergeCell ref="A294:A301"/>
    <mergeCell ref="B294:B301"/>
    <mergeCell ref="A267:A268"/>
    <mergeCell ref="B267:B268"/>
    <mergeCell ref="A269:I269"/>
    <mergeCell ref="A270:A277"/>
    <mergeCell ref="B270:B277"/>
    <mergeCell ref="A278:A285"/>
    <mergeCell ref="B278:B285"/>
    <mergeCell ref="A257:A261"/>
    <mergeCell ref="B257:B261"/>
    <mergeCell ref="A262:A264"/>
    <mergeCell ref="B262:B264"/>
    <mergeCell ref="A265:A266"/>
    <mergeCell ref="B265:B266"/>
    <mergeCell ref="A245:A247"/>
    <mergeCell ref="B245:B247"/>
    <mergeCell ref="A248:A250"/>
    <mergeCell ref="B248:B250"/>
    <mergeCell ref="A251:A256"/>
    <mergeCell ref="B251:B256"/>
    <mergeCell ref="A236:A238"/>
    <mergeCell ref="B236:B238"/>
    <mergeCell ref="A239:A241"/>
    <mergeCell ref="B239:B241"/>
    <mergeCell ref="A242:A244"/>
    <mergeCell ref="B242:B244"/>
    <mergeCell ref="A218:A221"/>
    <mergeCell ref="B218:B221"/>
    <mergeCell ref="A222:A229"/>
    <mergeCell ref="B222:B229"/>
    <mergeCell ref="A230:A235"/>
    <mergeCell ref="B230:B235"/>
    <mergeCell ref="A194:A201"/>
    <mergeCell ref="B194:B201"/>
    <mergeCell ref="A202:A209"/>
    <mergeCell ref="B202:B209"/>
    <mergeCell ref="A210:A217"/>
    <mergeCell ref="B210:B217"/>
    <mergeCell ref="A174:A175"/>
    <mergeCell ref="B174:B175"/>
    <mergeCell ref="A177:A184"/>
    <mergeCell ref="B177:B184"/>
    <mergeCell ref="A186:A193"/>
    <mergeCell ref="B186:B193"/>
    <mergeCell ref="A164:A167"/>
    <mergeCell ref="B164:B167"/>
    <mergeCell ref="A168:A171"/>
    <mergeCell ref="B168:B171"/>
    <mergeCell ref="A172:A173"/>
    <mergeCell ref="B172:B173"/>
    <mergeCell ref="A155:A157"/>
    <mergeCell ref="B155:B157"/>
    <mergeCell ref="A158:A160"/>
    <mergeCell ref="B158:B160"/>
    <mergeCell ref="A161:A163"/>
    <mergeCell ref="B161:B163"/>
    <mergeCell ref="A145:A148"/>
    <mergeCell ref="B145:B148"/>
    <mergeCell ref="A149:A151"/>
    <mergeCell ref="B149:B151"/>
    <mergeCell ref="A152:A154"/>
    <mergeCell ref="B152:B154"/>
    <mergeCell ref="A134:A138"/>
    <mergeCell ref="B134:B138"/>
    <mergeCell ref="A139:A141"/>
    <mergeCell ref="B139:B141"/>
    <mergeCell ref="A142:A144"/>
    <mergeCell ref="B142:B144"/>
    <mergeCell ref="A120:A122"/>
    <mergeCell ref="B120:B122"/>
    <mergeCell ref="A123:A128"/>
    <mergeCell ref="B123:B128"/>
    <mergeCell ref="A129:A133"/>
    <mergeCell ref="B129:B133"/>
    <mergeCell ref="A111:A113"/>
    <mergeCell ref="B111:B113"/>
    <mergeCell ref="A114:A116"/>
    <mergeCell ref="B114:B116"/>
    <mergeCell ref="A117:A119"/>
    <mergeCell ref="B117:B119"/>
    <mergeCell ref="A102:A104"/>
    <mergeCell ref="B102:B104"/>
    <mergeCell ref="A105:A107"/>
    <mergeCell ref="B105:B107"/>
    <mergeCell ref="A108:A110"/>
    <mergeCell ref="B108:B110"/>
    <mergeCell ref="A93:A95"/>
    <mergeCell ref="B93:B95"/>
    <mergeCell ref="A96:A98"/>
    <mergeCell ref="B96:B98"/>
    <mergeCell ref="A99:A101"/>
    <mergeCell ref="B99:B101"/>
    <mergeCell ref="A84:A86"/>
    <mergeCell ref="B84:B86"/>
    <mergeCell ref="A87:A89"/>
    <mergeCell ref="B87:B89"/>
    <mergeCell ref="A90:A92"/>
    <mergeCell ref="B90:B92"/>
    <mergeCell ref="A75:A77"/>
    <mergeCell ref="B75:B77"/>
    <mergeCell ref="A78:A80"/>
    <mergeCell ref="B78:B80"/>
    <mergeCell ref="A81:A83"/>
    <mergeCell ref="B81:B83"/>
    <mergeCell ref="A60:A64"/>
    <mergeCell ref="B60:B64"/>
    <mergeCell ref="A65:A69"/>
    <mergeCell ref="B65:B69"/>
    <mergeCell ref="A70:A74"/>
    <mergeCell ref="B70:B74"/>
    <mergeCell ref="A47:A54"/>
    <mergeCell ref="B47:B54"/>
    <mergeCell ref="A55:A59"/>
    <mergeCell ref="B55:B59"/>
    <mergeCell ref="A14:A21"/>
    <mergeCell ref="B14:B21"/>
    <mergeCell ref="A23:A30"/>
    <mergeCell ref="B23:B30"/>
    <mergeCell ref="A31:A38"/>
    <mergeCell ref="B31:B38"/>
    <mergeCell ref="G1:I1"/>
    <mergeCell ref="G2:I2"/>
    <mergeCell ref="G6:I6"/>
    <mergeCell ref="A11:A12"/>
    <mergeCell ref="B11:B12"/>
    <mergeCell ref="C11:C12"/>
    <mergeCell ref="D11:I11"/>
    <mergeCell ref="A39:A46"/>
    <mergeCell ref="B39:B46"/>
  </mergeCells>
  <hyperlinks>
    <hyperlink ref="G2" location="sub_1000" display="sub_1000"/>
  </hyperlinks>
  <pageMargins left="0.70866141732283472" right="0.70866141732283472" top="0.94488188976377963" bottom="0.55118110236220474" header="0.31496062992125984" footer="0.31496062992125984"/>
  <pageSetup paperSize="9" scale="72" fitToHeight="0" orientation="landscape" r:id="rId1"/>
  <rowBreaks count="14" manualBreakCount="14">
    <brk id="21" max="8" man="1"/>
    <brk id="54" max="8" man="1"/>
    <brk id="89" max="8" man="1"/>
    <brk id="119" max="8" man="1"/>
    <brk id="144" max="8" man="1"/>
    <brk id="171" max="8" man="1"/>
    <brk id="201" max="8" man="1"/>
    <brk id="229" max="8" man="1"/>
    <brk id="250" max="8" man="1"/>
    <brk id="277" max="8" man="1"/>
    <brk id="309" max="8" man="1"/>
    <brk id="338" max="8" man="1"/>
    <brk id="372" max="8" man="1"/>
    <brk id="40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постановлению</vt:lpstr>
      <vt:lpstr>'Приложение к постановлению'!Область_печати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2026-04-22T06:46:10Z</dcterms:modified>
</cp:coreProperties>
</file>