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1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<sst xmlns="http://schemas.openxmlformats.org/spreadsheetml/2006/main" count="195" uniqueCount="145">
  <si>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</si>
  <si>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</si>
  <si>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</si>
  <si>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</si>
  <si>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</si>
  <si>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</si>
  <si>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</si>
  <si>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</si>
  <si>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</si>
  <si>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</si>
  <si>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</si>
  <si>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</si>
  <si>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</si>
  <si>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Внутридомовое инженерное оборудование и технические устройства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</si>
  <si>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</si>
  <si>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</si>
  <si>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</si>
  <si>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</si>
  <si>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</si>
  <si>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</si>
  <si>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</si>
  <si>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внутренней отделки стен</t>
  </si>
  <si>
    <t>Осмотр всех элементов кровель из штучных материалов, водостоков</t>
  </si>
  <si>
    <t>1000 кв.м. кровли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</si>
  <si>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</si>
  <si>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</si>
  <si>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</si>
  <si>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</si>
  <si>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</si>
  <si>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</si>
  <si>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</si>
  <si>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</si>
  <si>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Устранение аварии на внутридомовых инженерных сетях при сроке эксплуатации многоквартирного дома от 51 до 70 лет</t>
  </si>
  <si>
    <t>1000 м2  общей площади жилых помещений,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</si>
  <si>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</si>
  <si>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</si>
  <si>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</si>
  <si>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</si>
  <si>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Мытье  лестничных площадок и маршей нижних трех этажей (в доме без лифтов и мусоропровода)</t>
  </si>
  <si>
    <t>100 м2 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</si>
  <si>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</si>
  <si>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</si>
  <si>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</si>
  <si>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</si>
  <si>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</si>
  <si>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</si>
  <si>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Влажная протирка перил лестниц (с моющим средством)</t>
  </si>
  <si>
    <t>100 кв.м. перил лестниц</t>
  </si>
  <si>
    <t>Подметание в летний период  земельного участка с усовершенствованным покрытием 1 класса</t>
  </si>
  <si>
    <t>1 000 кв.м. территории</t>
  </si>
  <si>
    <t>Стрижка газонов</t>
  </si>
  <si>
    <t>на 100 кв.м.</t>
  </si>
  <si>
    <t>Очистка территории с усовершенствованным покрытием 1 класса от наледи без обработки противогололедными реагентами</t>
  </si>
  <si>
    <t>10 000 кв.м. территории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</si>
  <si>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</si>
  <si>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</si>
  <si>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</si>
  <si>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</si>
  <si>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</si>
  <si>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</si>
  <si>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</si>
  <si>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Дератизация чердаков и подвалов с применением зоокумарина</t>
  </si>
  <si>
    <t>1000 м2  обрабатываемых  помещений</t>
  </si>
  <si>
    <t>Механизированная погрузка твердых бытовых отходов в кузовные мусоровозы и разгрузка мусоровозов на полигоне ТБО</t>
  </si>
  <si>
    <t>100 куб.м</t>
  </si>
  <si>
    <t>Транспортировка ТБО  на мусоровозе 7,5-11 куб. м (коэффициент уплотнения 1,6)</t>
  </si>
  <si>
    <t>100 куб.м/км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</si>
  <si>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</si>
  <si>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</si>
  <si>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</si>
  <si>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</si>
  <si>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</si>
  <si>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</si>
  <si>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</si>
  <si>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</si>
  <si>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</si>
  <si>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</si>
  <si>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</si>
  <si>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</si>
  <si>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</si>
  <si>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</si>
  <si>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Водитель автомобиля 4 разряда</t>
  </si>
  <si>
    <t>чел.-час</t>
  </si>
  <si>
    <t>Грузчик 1 разряда</t>
  </si>
  <si>
    <t>Дворник 1 разряда</t>
  </si>
  <si>
    <t>Дезинфектор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</si>
  <si>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</si>
  <si>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</si>
  <si>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</si>
  <si>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Плотник 4 разряда</t>
  </si>
  <si>
    <t>Подсобный рабочий 1 разряда</t>
  </si>
  <si>
    <t>Рабочий зеленого хозяйства 2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</si>
  <si>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</si>
  <si>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</si>
  <si>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</si>
  <si>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</si>
  <si>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4 разряда</t>
  </si>
  <si>
    <t>Стеклопротирщик 2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</si>
  <si>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</si>
  <si>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</si>
  <si>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</si>
  <si>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</si>
  <si>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</si>
  <si>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</si>
  <si>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</si>
  <si>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Ветошь</t>
  </si>
  <si>
    <t>кг</t>
  </si>
  <si>
    <t>Вода водопроводная</t>
  </si>
  <si>
    <t>м3</t>
  </si>
  <si>
    <t>Войлок строительный толщиной 15 мм</t>
  </si>
  <si>
    <t>м2</t>
  </si>
  <si>
    <t>Зоокумарин</t>
  </si>
  <si>
    <t>Крупа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</si>
  <si>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</si>
  <si>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</si>
  <si>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Масло растительное</t>
  </si>
  <si>
    <t>Мешки полиэтиленовые, 60 л</t>
  </si>
  <si>
    <t>1000 шт.</t>
  </si>
  <si>
    <t>Моющее средство</t>
  </si>
  <si>
    <t>Мыло</t>
  </si>
  <si>
    <t>Проволока стальная низкоуглеродистая разного  назначения оцинкованная диаметром 1,1 мм</t>
  </si>
  <si>
    <t>т</t>
  </si>
  <si>
    <t>Ткань мешочная</t>
  </si>
  <si>
    <t>10 м2</t>
  </si>
  <si>
    <t>Шпагат бумажный влагопрочный одножильный 3,7 мм</t>
  </si>
  <si>
    <t>Специнвентарь</t>
  </si>
  <si>
    <t>Ведро  оцинкованное</t>
  </si>
  <si>
    <t>шт.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</si>
  <si>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</si>
  <si>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</si>
  <si>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</si>
  <si>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</si>
  <si>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</si>
  <si>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</si>
  <si>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</si>
  <si>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</si>
  <si>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</si>
  <si>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</si>
  <si>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</si>
  <si>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</si>
  <si>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Погрузка в мусоровоз 7,5-11 куб.м</t>
  </si>
  <si>
    <t>маш.-час.</t>
  </si>
  <si>
    <t>Транспортировка на мусоровозе 7,5-11 куб.м</t>
  </si>
  <si>
    <t>Группа домов: Александровская ул., д. 56, Граничная ул., д. 27, д.41, Дорожников ул., д. 7, Доронина ул., д.32/13, Заречная ул., д. 10, Красногвардейская ул., д. 2в, Набережная ул., д. 1, д. 20</t>
  </si>
  <si>
    <t>Приложение № 3                                к постановлению администрации  МО "Кингисеппский муниципальный район"                   от 08.06.2021 № 1314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</si>
</sst>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0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9"/>
      <name val="Arial"/>
      <family val="0"/>
    </font>
    <font>
      <b/>
      <sz val="9"/>
      <color indexed="17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4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5" fillId="37" borderId="32" xfId="0" applyFont="1" applyFill="1" applyBorder="1" applyAlignment="1" applyProtection="1">
      <alignment horizontal="lef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4" fontId="5" fillId="37" borderId="33" xfId="0" applyNumberFormat="1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0" fontId="6" fillId="34" borderId="35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4" fontId="13" fillId="0" borderId="38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workbookViewId="0" topLeftCell="B1">
      <selection activeCell="G9" sqref="G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98.2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43" t="s">
        <v>144</v>
      </c>
      <c r="M1" s="43"/>
      <c r="N1" s="43"/>
    </row>
    <row r="2" ht="4.5" customHeight="1" thickBot="1"/>
    <row r="3" spans="2:14" ht="44.25" customHeight="1" thickBot="1" thickTop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</row>
    <row r="4" spans="2:14" ht="40.5" customHeight="1" thickBot="1" thickTop="1">
      <c r="B4" s="41" t="s">
        <v>143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4" ht="21.75" customHeight="1" thickBot="1" thickTop="1">
      <c r="B5" s="35" t="s">
        <v>13</v>
      </c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8"/>
    </row>
    <row r="6" spans="2:14" ht="24">
      <c r="B6" s="7">
        <v>1</v>
      </c>
      <c r="C6" s="5" t="s">
        <v>14</v>
      </c>
      <c r="D6" s="5" t="s">
        <v>15</v>
      </c>
      <c r="E6" s="9">
        <v>0.1</v>
      </c>
      <c r="F6" s="9">
        <v>3</v>
      </c>
      <c r="G6" s="12">
        <f>5081.5359*E6*F6</f>
        <v>1524.4607700000001</v>
      </c>
      <c r="H6" s="12">
        <f>4014.41931*E6*F6</f>
        <v>1204.3257930000002</v>
      </c>
      <c r="I6" s="12">
        <f aca="true" t="shared" si="0" ref="I6:I18">0*E6*F6</f>
        <v>0</v>
      </c>
      <c r="J6" s="12">
        <f>4583.5453818*E6*F6</f>
        <v>1375.06361454</v>
      </c>
      <c r="K6" s="12">
        <f>752.372532549*E6*F6</f>
        <v>225.7117597647</v>
      </c>
      <c r="L6" s="12">
        <f>863.861103*E6*F6</f>
        <v>259.1583309</v>
      </c>
      <c r="M6" s="12">
        <f aca="true" t="shared" si="1" ref="M6:M18">SUM(G6:L6)</f>
        <v>4588.7202682047</v>
      </c>
      <c r="N6" s="15">
        <f>IF(N4&gt;0,(M6/$N$4/12),0)</f>
        <v>0</v>
      </c>
    </row>
    <row r="7" spans="2:14" ht="24">
      <c r="B7" s="8">
        <v>2</v>
      </c>
      <c r="C7" s="6" t="s">
        <v>16</v>
      </c>
      <c r="D7" s="6" t="s">
        <v>15</v>
      </c>
      <c r="E7" s="10">
        <v>0.1</v>
      </c>
      <c r="F7" s="10">
        <v>1</v>
      </c>
      <c r="G7" s="13">
        <f>85.122765*E7*F7</f>
        <v>8.5122765</v>
      </c>
      <c r="H7" s="13">
        <f aca="true" t="shared" si="2" ref="H7:H14">0*E7*F7</f>
        <v>0</v>
      </c>
      <c r="I7" s="13">
        <f t="shared" si="0"/>
        <v>0</v>
      </c>
      <c r="J7" s="13">
        <f>76.78073403*E7*F7</f>
        <v>7.678073403000001</v>
      </c>
      <c r="K7" s="13">
        <f>8.90469244665*E7*F7</f>
        <v>0.890469244665</v>
      </c>
      <c r="L7" s="13">
        <f>14.47087005*E7*F7</f>
        <v>1.4470870050000002</v>
      </c>
      <c r="M7" s="13">
        <f t="shared" si="1"/>
        <v>18.527906152665</v>
      </c>
      <c r="N7" s="16">
        <f>IF(N4&gt;0,(M7/$N$4/12),0)</f>
        <v>0</v>
      </c>
    </row>
    <row r="8" spans="2:14" ht="24">
      <c r="B8" s="8">
        <v>3</v>
      </c>
      <c r="C8" s="6" t="s">
        <v>17</v>
      </c>
      <c r="D8" s="6" t="s">
        <v>15</v>
      </c>
      <c r="E8" s="10">
        <v>0.3</v>
      </c>
      <c r="F8" s="10">
        <v>1</v>
      </c>
      <c r="G8" s="13">
        <f>2417.4297*E8*F8</f>
        <v>725.22891</v>
      </c>
      <c r="H8" s="13">
        <f t="shared" si="2"/>
        <v>0</v>
      </c>
      <c r="I8" s="13">
        <f t="shared" si="0"/>
        <v>0</v>
      </c>
      <c r="J8" s="13">
        <f>2180.5215894*E8*F8</f>
        <v>654.15647682</v>
      </c>
      <c r="K8" s="13">
        <f>252.887320917*E8*F8</f>
        <v>75.8661962751</v>
      </c>
      <c r="L8" s="13">
        <f>410.963049*E8*F8</f>
        <v>123.28891469999999</v>
      </c>
      <c r="M8" s="13">
        <f t="shared" si="1"/>
        <v>1578.5404977951</v>
      </c>
      <c r="N8" s="16">
        <f>IF(N4&gt;0,(M8/$N$4/12),0)</f>
        <v>0</v>
      </c>
    </row>
    <row r="9" spans="2:14" ht="24">
      <c r="B9" s="8">
        <v>4</v>
      </c>
      <c r="C9" s="6" t="s">
        <v>18</v>
      </c>
      <c r="D9" s="6" t="s">
        <v>15</v>
      </c>
      <c r="E9" s="10">
        <v>0.3</v>
      </c>
      <c r="F9" s="10">
        <v>1</v>
      </c>
      <c r="G9" s="13">
        <f>616.69125*E9*F9</f>
        <v>185.007375</v>
      </c>
      <c r="H9" s="13">
        <f t="shared" si="2"/>
        <v>0</v>
      </c>
      <c r="I9" s="13">
        <f t="shared" si="0"/>
        <v>0</v>
      </c>
      <c r="J9" s="13">
        <f>556.2555075*E9*F9</f>
        <v>166.87665225</v>
      </c>
      <c r="K9" s="13">
        <f>64.5120716625*E9*F9</f>
        <v>19.35362149875</v>
      </c>
      <c r="L9" s="13">
        <f>104.8375125*E9*F9</f>
        <v>31.45125375</v>
      </c>
      <c r="M9" s="13">
        <f t="shared" si="1"/>
        <v>402.68890249875</v>
      </c>
      <c r="N9" s="16">
        <f>IF(N4&gt;0,(M9/$N$4/12),0)</f>
        <v>0</v>
      </c>
    </row>
    <row r="10" spans="2:14" ht="12">
      <c r="B10" s="8">
        <v>5</v>
      </c>
      <c r="C10" s="6" t="s">
        <v>19</v>
      </c>
      <c r="D10" s="6" t="s">
        <v>20</v>
      </c>
      <c r="E10" s="10">
        <v>0.3</v>
      </c>
      <c r="F10" s="10">
        <v>1</v>
      </c>
      <c r="G10" s="13">
        <f>518.02065*E10*F10</f>
        <v>155.406195</v>
      </c>
      <c r="H10" s="13">
        <f t="shared" si="2"/>
        <v>0</v>
      </c>
      <c r="I10" s="13">
        <f t="shared" si="0"/>
        <v>0</v>
      </c>
      <c r="J10" s="13">
        <f>467.2546263*E10*F10</f>
        <v>140.17638789</v>
      </c>
      <c r="K10" s="13">
        <f>54.1901401965*E10*F10</f>
        <v>16.25704205895</v>
      </c>
      <c r="L10" s="13">
        <f>88.0635105*E10*F10</f>
        <v>26.41905315</v>
      </c>
      <c r="M10" s="13">
        <f t="shared" si="1"/>
        <v>338.25867809895004</v>
      </c>
      <c r="N10" s="16">
        <f>IF(N4&gt;0,(M10/$N$4/12),0)</f>
        <v>0</v>
      </c>
    </row>
    <row r="11" spans="2:14" ht="24">
      <c r="B11" s="8">
        <v>6</v>
      </c>
      <c r="C11" s="6" t="s">
        <v>21</v>
      </c>
      <c r="D11" s="6" t="s">
        <v>15</v>
      </c>
      <c r="E11" s="10">
        <v>0.3</v>
      </c>
      <c r="F11" s="10">
        <v>1</v>
      </c>
      <c r="G11" s="13">
        <f>986.706*E11*F11</f>
        <v>296.0118</v>
      </c>
      <c r="H11" s="13">
        <f t="shared" si="2"/>
        <v>0</v>
      </c>
      <c r="I11" s="13">
        <f t="shared" si="0"/>
        <v>0</v>
      </c>
      <c r="J11" s="13">
        <f>890.008812*E11*F11</f>
        <v>267.0026436</v>
      </c>
      <c r="K11" s="13">
        <f>103.21931466*E11*F11</f>
        <v>30.965794397999996</v>
      </c>
      <c r="L11" s="13">
        <f>167.74002*E11*F11</f>
        <v>50.322005999999995</v>
      </c>
      <c r="M11" s="13">
        <f t="shared" si="1"/>
        <v>644.302243998</v>
      </c>
      <c r="N11" s="16">
        <f>IF(N4&gt;0,(M11/$N$4/12),0)</f>
        <v>0</v>
      </c>
    </row>
    <row r="12" spans="2:14" ht="24">
      <c r="B12" s="8">
        <v>7</v>
      </c>
      <c r="C12" s="6" t="s">
        <v>22</v>
      </c>
      <c r="D12" s="6" t="s">
        <v>23</v>
      </c>
      <c r="E12" s="10">
        <v>0.5</v>
      </c>
      <c r="F12" s="10">
        <v>1</v>
      </c>
      <c r="G12" s="13">
        <f>0.26*E12*F12</f>
        <v>0.13</v>
      </c>
      <c r="H12" s="13">
        <f t="shared" si="2"/>
        <v>0</v>
      </c>
      <c r="I12" s="13">
        <f t="shared" si="0"/>
        <v>0</v>
      </c>
      <c r="J12" s="13">
        <f>0.23452*E12*F12</f>
        <v>0.11726</v>
      </c>
      <c r="K12" s="13">
        <f>0.0271986*E12*F12</f>
        <v>0.0135993</v>
      </c>
      <c r="L12" s="13">
        <f>0.0442*E12*F12</f>
        <v>0.0221</v>
      </c>
      <c r="M12" s="13">
        <f t="shared" si="1"/>
        <v>0.2829593</v>
      </c>
      <c r="N12" s="16">
        <f>IF(N4&gt;0,(M12/$N$4/12),0)</f>
        <v>0</v>
      </c>
    </row>
    <row r="13" spans="2:14" ht="24">
      <c r="B13" s="8">
        <v>8</v>
      </c>
      <c r="C13" s="6" t="s">
        <v>24</v>
      </c>
      <c r="D13" s="6" t="s">
        <v>15</v>
      </c>
      <c r="E13" s="10">
        <v>0.1</v>
      </c>
      <c r="F13" s="10">
        <v>3</v>
      </c>
      <c r="G13" s="13">
        <f>916.7067*E13*F13</f>
        <v>275.01201000000003</v>
      </c>
      <c r="H13" s="13">
        <f t="shared" si="2"/>
        <v>0</v>
      </c>
      <c r="I13" s="13">
        <f t="shared" si="0"/>
        <v>0</v>
      </c>
      <c r="J13" s="13">
        <f>826.8694434*E13*F13</f>
        <v>248.06083302000002</v>
      </c>
      <c r="K13" s="13">
        <f>95.896687887*E13*F13</f>
        <v>28.7690063661</v>
      </c>
      <c r="L13" s="13">
        <f>155.840139*E13*F13</f>
        <v>46.7520417</v>
      </c>
      <c r="M13" s="13">
        <f t="shared" si="1"/>
        <v>598.5938910861</v>
      </c>
      <c r="N13" s="16">
        <f>IF(N4&gt;0,(M13/$N$4/12),0)</f>
        <v>0</v>
      </c>
    </row>
    <row r="14" spans="2:14" ht="24">
      <c r="B14" s="8">
        <v>9</v>
      </c>
      <c r="C14" s="6" t="s">
        <v>25</v>
      </c>
      <c r="D14" s="6" t="s">
        <v>26</v>
      </c>
      <c r="E14" s="10">
        <v>1</v>
      </c>
      <c r="F14" s="10">
        <v>1</v>
      </c>
      <c r="G14" s="13">
        <f>2220.0885*E14*F14</f>
        <v>2220.0885</v>
      </c>
      <c r="H14" s="13">
        <f t="shared" si="2"/>
        <v>0</v>
      </c>
      <c r="I14" s="13">
        <f t="shared" si="0"/>
        <v>0</v>
      </c>
      <c r="J14" s="13">
        <f>2002.519827*E14*F14</f>
        <v>2002.519827</v>
      </c>
      <c r="K14" s="13">
        <f>232.243457985*E14*F14</f>
        <v>232.243457985</v>
      </c>
      <c r="L14" s="13">
        <f>377.415045*E14*F14</f>
        <v>377.415045</v>
      </c>
      <c r="M14" s="13">
        <f t="shared" si="1"/>
        <v>4832.266829984999</v>
      </c>
      <c r="N14" s="16">
        <f>IF(N4&gt;0,(M14/$N$4/12),0)</f>
        <v>0</v>
      </c>
    </row>
    <row r="15" spans="2:14" ht="12">
      <c r="B15" s="8">
        <v>10</v>
      </c>
      <c r="C15" s="6" t="s">
        <v>27</v>
      </c>
      <c r="D15" s="6" t="s">
        <v>28</v>
      </c>
      <c r="E15" s="10">
        <v>1</v>
      </c>
      <c r="F15" s="10">
        <v>1</v>
      </c>
      <c r="G15" s="13">
        <f>1091.3175*E15*F15</f>
        <v>1091.3175</v>
      </c>
      <c r="H15" s="13">
        <f>590.64456*E15*F15</f>
        <v>590.64456</v>
      </c>
      <c r="I15" s="13">
        <f t="shared" si="0"/>
        <v>0</v>
      </c>
      <c r="J15" s="13">
        <f>984.368385*E15*F15</f>
        <v>984.368385</v>
      </c>
      <c r="K15" s="13">
        <f>146.648174475*E15*F15</f>
        <v>146.648174475</v>
      </c>
      <c r="L15" s="13">
        <f>185.523975*E15*F15</f>
        <v>185.523975</v>
      </c>
      <c r="M15" s="13">
        <f t="shared" si="1"/>
        <v>2998.502594475</v>
      </c>
      <c r="N15" s="16">
        <f>IF(N4&gt;0,(M15/$N$4/12),0)</f>
        <v>0</v>
      </c>
    </row>
    <row r="16" spans="2:14" ht="12">
      <c r="B16" s="8">
        <v>11</v>
      </c>
      <c r="C16" s="6" t="s">
        <v>29</v>
      </c>
      <c r="D16" s="6" t="s">
        <v>28</v>
      </c>
      <c r="E16" s="10">
        <v>1</v>
      </c>
      <c r="F16" s="10">
        <v>1</v>
      </c>
      <c r="G16" s="13">
        <f>436.527*E16*F16</f>
        <v>436.527</v>
      </c>
      <c r="H16" s="13">
        <f>0*E16*F16</f>
        <v>0</v>
      </c>
      <c r="I16" s="13">
        <f t="shared" si="0"/>
        <v>0</v>
      </c>
      <c r="J16" s="13">
        <f>393.747354*E16*F16</f>
        <v>393.747354</v>
      </c>
      <c r="K16" s="13">
        <f>45.66508947*E16*F16</f>
        <v>45.66508947</v>
      </c>
      <c r="L16" s="13">
        <f>74.20959*E16*F16</f>
        <v>74.20959</v>
      </c>
      <c r="M16" s="13">
        <f t="shared" si="1"/>
        <v>950.14903347</v>
      </c>
      <c r="N16" s="16">
        <f>IF(N4&gt;0,(M16/$N$4/12),0)</f>
        <v>0</v>
      </c>
    </row>
    <row r="17" spans="2:14" ht="12">
      <c r="B17" s="8">
        <v>12</v>
      </c>
      <c r="C17" s="6" t="s">
        <v>30</v>
      </c>
      <c r="D17" s="6" t="s">
        <v>31</v>
      </c>
      <c r="E17" s="10">
        <v>1</v>
      </c>
      <c r="F17" s="10">
        <v>12</v>
      </c>
      <c r="G17" s="13">
        <f>62.491379177745*E17*F17</f>
        <v>749.8965501329401</v>
      </c>
      <c r="H17" s="13">
        <f>0*E17*F17</f>
        <v>0</v>
      </c>
      <c r="I17" s="13">
        <f t="shared" si="0"/>
        <v>0</v>
      </c>
      <c r="J17" s="13">
        <f>56.367224018326*E17*F17</f>
        <v>676.406688219912</v>
      </c>
      <c r="K17" s="13">
        <f>6.5372231757839*E17*F17</f>
        <v>78.4466781094068</v>
      </c>
      <c r="L17" s="13">
        <f>10.623534460217*E17*F17</f>
        <v>127.48241352260399</v>
      </c>
      <c r="M17" s="13">
        <f t="shared" si="1"/>
        <v>1632.2323299848629</v>
      </c>
      <c r="N17" s="16">
        <f>IF(N4&gt;0,(M17/$N$4/12),0)</f>
        <v>0</v>
      </c>
    </row>
    <row r="18" spans="2:14" ht="84">
      <c r="B18" s="8">
        <v>13</v>
      </c>
      <c r="C18" s="6" t="s">
        <v>32</v>
      </c>
      <c r="D18" s="6" t="s">
        <v>33</v>
      </c>
      <c r="E18" s="10">
        <v>0.5</v>
      </c>
      <c r="F18" s="10">
        <v>12</v>
      </c>
      <c r="G18" s="13">
        <f>2962.9593*E18*F18</f>
        <v>17777.7558</v>
      </c>
      <c r="H18" s="13">
        <f>0*E18*F18</f>
        <v>0</v>
      </c>
      <c r="I18" s="13">
        <f t="shared" si="0"/>
        <v>0</v>
      </c>
      <c r="J18" s="13">
        <f>2672.5892886*E18*F18</f>
        <v>16035.5357316</v>
      </c>
      <c r="K18" s="13">
        <f>309.955172373*E18*F18</f>
        <v>1859.731034238</v>
      </c>
      <c r="L18" s="13">
        <f>503.703081*E18*F18</f>
        <v>3022.2184859999998</v>
      </c>
      <c r="M18" s="13">
        <f t="shared" si="1"/>
        <v>38695.241051838</v>
      </c>
      <c r="N18" s="16">
        <f>IF(N4&gt;0,(M18/$N$4/12),0)</f>
        <v>0</v>
      </c>
    </row>
    <row r="19" spans="2:14" ht="19.5" customHeight="1">
      <c r="B19" s="39" t="s">
        <v>34</v>
      </c>
      <c r="C19" s="40"/>
      <c r="D19" s="40"/>
      <c r="E19" s="40"/>
      <c r="F19" s="40"/>
      <c r="G19" s="14">
        <f aca="true" t="shared" si="3" ref="G19:N19">SUM(G6:G18)</f>
        <v>25445.354686632938</v>
      </c>
      <c r="H19" s="14">
        <f t="shared" si="3"/>
        <v>1794.9703530000002</v>
      </c>
      <c r="I19" s="14">
        <f t="shared" si="3"/>
        <v>0</v>
      </c>
      <c r="J19" s="14">
        <f t="shared" si="3"/>
        <v>22951.709927342912</v>
      </c>
      <c r="K19" s="14">
        <f t="shared" si="3"/>
        <v>2760.5619231836718</v>
      </c>
      <c r="L19" s="14">
        <f t="shared" si="3"/>
        <v>4325.710296727604</v>
      </c>
      <c r="M19" s="14">
        <f t="shared" si="3"/>
        <v>57278.30718688712</v>
      </c>
      <c r="N19" s="17">
        <f t="shared" si="3"/>
        <v>0</v>
      </c>
    </row>
    <row r="20" spans="2:14" ht="21.75" customHeight="1">
      <c r="B20" s="35" t="s">
        <v>35</v>
      </c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8"/>
    </row>
    <row r="21" spans="2:14" ht="36">
      <c r="B21" s="7">
        <v>14</v>
      </c>
      <c r="C21" s="5" t="s">
        <v>36</v>
      </c>
      <c r="D21" s="5" t="s">
        <v>37</v>
      </c>
      <c r="E21" s="9">
        <v>0.5</v>
      </c>
      <c r="F21" s="9">
        <v>52</v>
      </c>
      <c r="G21" s="12">
        <f>165.040785*E21*F21</f>
        <v>4291.06041</v>
      </c>
      <c r="H21" s="12">
        <f>0.763224*E21*F21</f>
        <v>19.843824</v>
      </c>
      <c r="I21" s="12">
        <f aca="true" t="shared" si="4" ref="I21:I27">0*E21*F21</f>
        <v>0</v>
      </c>
      <c r="J21" s="12">
        <f>148.86678807*E21*F21</f>
        <v>3870.5364898200005</v>
      </c>
      <c r="K21" s="12">
        <f>17.30689383885*E21*F21</f>
        <v>449.9792398101</v>
      </c>
      <c r="L21" s="12">
        <f>28.05693345*E21*F21</f>
        <v>729.4802697</v>
      </c>
      <c r="M21" s="12">
        <f aca="true" t="shared" si="5" ref="M21:M36">SUM(G21:L21)</f>
        <v>9360.9002333301</v>
      </c>
      <c r="N21" s="15">
        <f>IF(N4&gt;0,(M21/$N$4/12),0)</f>
        <v>0</v>
      </c>
    </row>
    <row r="22" spans="2:14" ht="24">
      <c r="B22" s="8">
        <v>15</v>
      </c>
      <c r="C22" s="6" t="s">
        <v>38</v>
      </c>
      <c r="D22" s="6" t="s">
        <v>39</v>
      </c>
      <c r="E22" s="10">
        <v>0.5</v>
      </c>
      <c r="F22" s="10">
        <v>12</v>
      </c>
      <c r="G22" s="13">
        <f>377.76375*E22*F22</f>
        <v>2266.5825</v>
      </c>
      <c r="H22" s="13">
        <f>119.367204*E22*F22</f>
        <v>716.203224</v>
      </c>
      <c r="I22" s="13">
        <f t="shared" si="4"/>
        <v>0</v>
      </c>
      <c r="J22" s="13">
        <f>340.7429025*E22*F22</f>
        <v>2044.457415</v>
      </c>
      <c r="K22" s="13">
        <f>46.0830621075*E22*F22</f>
        <v>276.498372645</v>
      </c>
      <c r="L22" s="13">
        <f>64.2198375*E22*F22</f>
        <v>385.319025</v>
      </c>
      <c r="M22" s="13">
        <f t="shared" si="5"/>
        <v>5689.060536645</v>
      </c>
      <c r="N22" s="16">
        <f>IF(N4&gt;0,(M22/$N$4/12),0)</f>
        <v>0</v>
      </c>
    </row>
    <row r="23" spans="2:14" ht="24">
      <c r="B23" s="8">
        <v>16</v>
      </c>
      <c r="C23" s="6" t="s">
        <v>40</v>
      </c>
      <c r="D23" s="6" t="s">
        <v>41</v>
      </c>
      <c r="E23" s="10">
        <v>0.2</v>
      </c>
      <c r="F23" s="10">
        <v>12</v>
      </c>
      <c r="G23" s="13">
        <f>380.617965*E23*F23</f>
        <v>913.4831160000001</v>
      </c>
      <c r="H23" s="13">
        <f>47.7097566*E23*F23</f>
        <v>114.50341584</v>
      </c>
      <c r="I23" s="13">
        <f t="shared" si="4"/>
        <v>0</v>
      </c>
      <c r="J23" s="13">
        <f>343.31740443*E23*F23</f>
        <v>823.961770632</v>
      </c>
      <c r="K23" s="13">
        <f>42.44048193165*E23*F23</f>
        <v>101.85715663596</v>
      </c>
      <c r="L23" s="13">
        <f>64.70505405*E23*F23</f>
        <v>155.29212972000002</v>
      </c>
      <c r="M23" s="13">
        <f t="shared" si="5"/>
        <v>2109.0975888279604</v>
      </c>
      <c r="N23" s="16">
        <f>IF(N4&gt;0,(M23/$N$4/12),0)</f>
        <v>0</v>
      </c>
    </row>
    <row r="24" spans="2:14" ht="24">
      <c r="B24" s="8">
        <v>17</v>
      </c>
      <c r="C24" s="6" t="s">
        <v>42</v>
      </c>
      <c r="D24" s="6" t="s">
        <v>43</v>
      </c>
      <c r="E24" s="10">
        <v>0.2</v>
      </c>
      <c r="F24" s="10">
        <v>12</v>
      </c>
      <c r="G24" s="13">
        <f>366.514785*E24*F24</f>
        <v>879.6354840000001</v>
      </c>
      <c r="H24" s="13">
        <f>111.6566286*E24*F24</f>
        <v>267.97590864000006</v>
      </c>
      <c r="I24" s="13">
        <f t="shared" si="4"/>
        <v>0</v>
      </c>
      <c r="J24" s="13">
        <f>330.59633607*E24*F24</f>
        <v>793.4312065680001</v>
      </c>
      <c r="K24" s="13">
        <f>44.48222623185*E24*F24</f>
        <v>106.75734295644</v>
      </c>
      <c r="L24" s="13">
        <f>62.30751345*E24*F24</f>
        <v>149.53803228</v>
      </c>
      <c r="M24" s="13">
        <f t="shared" si="5"/>
        <v>2197.3379744444405</v>
      </c>
      <c r="N24" s="16">
        <f>IF(N4&gt;0,(M24/$N$4/12),0)</f>
        <v>0</v>
      </c>
    </row>
    <row r="25" spans="2:14" ht="24">
      <c r="B25" s="8">
        <v>18</v>
      </c>
      <c r="C25" s="6" t="s">
        <v>44</v>
      </c>
      <c r="D25" s="6" t="s">
        <v>45</v>
      </c>
      <c r="E25" s="10">
        <v>0.2</v>
      </c>
      <c r="F25" s="10">
        <v>1</v>
      </c>
      <c r="G25" s="13">
        <f>562.44825*E25*F25</f>
        <v>112.48965000000001</v>
      </c>
      <c r="H25" s="13">
        <f>308.1977316*E25*F25</f>
        <v>61.63954632</v>
      </c>
      <c r="I25" s="13">
        <f t="shared" si="4"/>
        <v>0</v>
      </c>
      <c r="J25" s="13">
        <f>507.3283215*E25*F25</f>
        <v>101.46566430000001</v>
      </c>
      <c r="K25" s="13">
        <f>75.7885866705*E25*F25</f>
        <v>15.157717334099999</v>
      </c>
      <c r="L25" s="13">
        <f>95.6162025*E25*F25</f>
        <v>19.1232405</v>
      </c>
      <c r="M25" s="13">
        <f t="shared" si="5"/>
        <v>309.87581845410006</v>
      </c>
      <c r="N25" s="16">
        <f>IF(N4&gt;0,(M25/$N$4/12),0)</f>
        <v>0</v>
      </c>
    </row>
    <row r="26" spans="2:14" ht="24">
      <c r="B26" s="8">
        <v>19</v>
      </c>
      <c r="C26" s="6" t="s">
        <v>46</v>
      </c>
      <c r="D26" s="6" t="s">
        <v>47</v>
      </c>
      <c r="E26" s="10">
        <v>0.3</v>
      </c>
      <c r="F26" s="10">
        <v>12</v>
      </c>
      <c r="G26" s="13">
        <f>305.065215*E26*F26</f>
        <v>1098.234774</v>
      </c>
      <c r="H26" s="13">
        <f>88.43652*E26*F26</f>
        <v>318.371472</v>
      </c>
      <c r="I26" s="13">
        <f t="shared" si="4"/>
        <v>0</v>
      </c>
      <c r="J26" s="13">
        <f>275.16882393*E26*F26</f>
        <v>990.6077661479999</v>
      </c>
      <c r="K26" s="13">
        <f>36.77688074115*E26*F26</f>
        <v>132.39677066814</v>
      </c>
      <c r="L26" s="13">
        <f>51.86108655*E26*F26</f>
        <v>186.69991158</v>
      </c>
      <c r="M26" s="13">
        <f t="shared" si="5"/>
        <v>2726.3106943961398</v>
      </c>
      <c r="N26" s="16">
        <f>IF(N4&gt;0,(M26/$N$4/12),0)</f>
        <v>0</v>
      </c>
    </row>
    <row r="27" spans="2:14" ht="24">
      <c r="B27" s="8">
        <v>20</v>
      </c>
      <c r="C27" s="6" t="s">
        <v>48</v>
      </c>
      <c r="D27" s="6" t="s">
        <v>49</v>
      </c>
      <c r="E27" s="10">
        <v>0.25</v>
      </c>
      <c r="F27" s="10">
        <v>12</v>
      </c>
      <c r="G27" s="13">
        <f>171.7695*E27*F27</f>
        <v>515.3085</v>
      </c>
      <c r="H27" s="13">
        <f>8.4669915*E27*F27</f>
        <v>25.400974500000004</v>
      </c>
      <c r="I27" s="13">
        <f t="shared" si="4"/>
        <v>0</v>
      </c>
      <c r="J27" s="13">
        <f>154.936089*E27*F27</f>
        <v>464.808267</v>
      </c>
      <c r="K27" s="13">
        <f>18.4344919275*E27*F27</f>
        <v>55.3034757825</v>
      </c>
      <c r="L27" s="13">
        <f>29.200815*E27*F27</f>
        <v>87.60244499999999</v>
      </c>
      <c r="M27" s="13">
        <f t="shared" si="5"/>
        <v>1148.4236622825</v>
      </c>
      <c r="N27" s="16">
        <f>IF(N4&gt;0,(M27/$N$4/12),0)</f>
        <v>0</v>
      </c>
    </row>
    <row r="28" spans="2:14" ht="12">
      <c r="B28" s="8">
        <v>21</v>
      </c>
      <c r="C28" s="6" t="s">
        <v>50</v>
      </c>
      <c r="D28" s="6" t="s">
        <v>51</v>
      </c>
      <c r="E28" s="10">
        <v>0.5</v>
      </c>
      <c r="F28" s="10">
        <v>3</v>
      </c>
      <c r="G28" s="13">
        <f>164.5371*E28*F28</f>
        <v>246.80565</v>
      </c>
      <c r="H28" s="13">
        <f>30.716532*E28*F28</f>
        <v>46.074798</v>
      </c>
      <c r="I28" s="13">
        <f>58.782*E28*F28</f>
        <v>88.173</v>
      </c>
      <c r="J28" s="13">
        <f>148.4124642*E28*F28</f>
        <v>222.61869629999998</v>
      </c>
      <c r="K28" s="13">
        <f>22.134645291*E28*F28</f>
        <v>33.2019679365</v>
      </c>
      <c r="L28" s="13">
        <f>27.971307*E28*F28</f>
        <v>41.9569605</v>
      </c>
      <c r="M28" s="13">
        <f t="shared" si="5"/>
        <v>678.8310727365</v>
      </c>
      <c r="N28" s="16">
        <f>IF(N4&gt;0,(M28/$N$4/12),0)</f>
        <v>0</v>
      </c>
    </row>
    <row r="29" spans="2:14" ht="36">
      <c r="B29" s="8">
        <v>22</v>
      </c>
      <c r="C29" s="6" t="s">
        <v>52</v>
      </c>
      <c r="D29" s="6" t="s">
        <v>53</v>
      </c>
      <c r="E29" s="10">
        <v>0.01</v>
      </c>
      <c r="F29" s="10">
        <v>48</v>
      </c>
      <c r="G29" s="13">
        <f>91480.8195*E29*F29</f>
        <v>43910.793359999996</v>
      </c>
      <c r="H29" s="13">
        <f>133.9008*E29*F29</f>
        <v>64.272384</v>
      </c>
      <c r="I29" s="13">
        <f aca="true" t="shared" si="6" ref="I29:I34">0*E29*F29</f>
        <v>0</v>
      </c>
      <c r="J29" s="13">
        <f>82515.699189*E29*F29</f>
        <v>39607.535610720006</v>
      </c>
      <c r="K29" s="13">
        <f>9577.173071895*E29*F29</f>
        <v>4597.0430745096</v>
      </c>
      <c r="L29" s="13">
        <f>15551.739315*E29*F29</f>
        <v>7464.834871200001</v>
      </c>
      <c r="M29" s="13">
        <f t="shared" si="5"/>
        <v>95644.47930042961</v>
      </c>
      <c r="N29" s="16">
        <f>IF(N4&gt;0,(M29/$N$4/12),0)</f>
        <v>0</v>
      </c>
    </row>
    <row r="30" spans="2:14" ht="24">
      <c r="B30" s="8">
        <v>23</v>
      </c>
      <c r="C30" s="6" t="s">
        <v>54</v>
      </c>
      <c r="D30" s="6" t="s">
        <v>55</v>
      </c>
      <c r="E30" s="10">
        <v>1</v>
      </c>
      <c r="F30" s="10">
        <v>3</v>
      </c>
      <c r="G30" s="13">
        <f>348.705*E30*F30</f>
        <v>1046.115</v>
      </c>
      <c r="H30" s="13">
        <f>0*E30*F30</f>
        <v>0</v>
      </c>
      <c r="I30" s="13">
        <f t="shared" si="6"/>
        <v>0</v>
      </c>
      <c r="J30" s="13">
        <f>314.53191*E30*F30</f>
        <v>943.59573</v>
      </c>
      <c r="K30" s="13">
        <f>36.47803005*E30*F30</f>
        <v>109.43409015</v>
      </c>
      <c r="L30" s="13">
        <f>59.27985*E30*F30</f>
        <v>177.83955</v>
      </c>
      <c r="M30" s="13">
        <f t="shared" si="5"/>
        <v>2276.9843701500004</v>
      </c>
      <c r="N30" s="16">
        <f>IF(N4&gt;0,(M30/$N$4/12),0)</f>
        <v>0</v>
      </c>
    </row>
    <row r="31" spans="2:14" ht="12">
      <c r="B31" s="8">
        <v>24</v>
      </c>
      <c r="C31" s="6" t="s">
        <v>56</v>
      </c>
      <c r="D31" s="6" t="s">
        <v>57</v>
      </c>
      <c r="E31" s="10">
        <v>1</v>
      </c>
      <c r="F31" s="10">
        <v>1</v>
      </c>
      <c r="G31" s="13">
        <f>154.98*E31*F31</f>
        <v>154.98</v>
      </c>
      <c r="H31" s="13">
        <f>0*E31*F31</f>
        <v>0</v>
      </c>
      <c r="I31" s="13">
        <f t="shared" si="6"/>
        <v>0</v>
      </c>
      <c r="J31" s="13">
        <f>139.79196*E31*F31</f>
        <v>139.79196</v>
      </c>
      <c r="K31" s="13">
        <f>16.2124578*E31*F31</f>
        <v>16.2124578</v>
      </c>
      <c r="L31" s="13">
        <f>26.3466*E31*F31</f>
        <v>26.3466</v>
      </c>
      <c r="M31" s="13">
        <f t="shared" si="5"/>
        <v>337.3310178</v>
      </c>
      <c r="N31" s="16">
        <f>IF(N4&gt;0,(M31/$N$4/12),0)</f>
        <v>0</v>
      </c>
    </row>
    <row r="32" spans="2:14" ht="24">
      <c r="B32" s="8">
        <v>25</v>
      </c>
      <c r="C32" s="6" t="s">
        <v>58</v>
      </c>
      <c r="D32" s="6" t="s">
        <v>59</v>
      </c>
      <c r="E32" s="10">
        <v>0.2</v>
      </c>
      <c r="F32" s="10">
        <v>12</v>
      </c>
      <c r="G32" s="13">
        <f>178.227*E32*F32</f>
        <v>427.74480000000005</v>
      </c>
      <c r="H32" s="13">
        <f>7.6094304*E32*F32</f>
        <v>18.26263296</v>
      </c>
      <c r="I32" s="13">
        <f t="shared" si="6"/>
        <v>0</v>
      </c>
      <c r="J32" s="13">
        <f>160.760754*E32*F32</f>
        <v>385.8258096</v>
      </c>
      <c r="K32" s="13">
        <f>19.062845142*E32*F32</f>
        <v>45.750828340800005</v>
      </c>
      <c r="L32" s="13">
        <f>30.29859*E32*F32</f>
        <v>72.716616</v>
      </c>
      <c r="M32" s="13">
        <f t="shared" si="5"/>
        <v>950.3006869008002</v>
      </c>
      <c r="N32" s="16">
        <f>IF(N4&gt;0,(M32/$N$4/12),0)</f>
        <v>0</v>
      </c>
    </row>
    <row r="33" spans="2:14" ht="24">
      <c r="B33" s="8">
        <v>26</v>
      </c>
      <c r="C33" s="6" t="s">
        <v>60</v>
      </c>
      <c r="D33" s="6" t="s">
        <v>59</v>
      </c>
      <c r="E33" s="10">
        <v>1</v>
      </c>
      <c r="F33" s="10">
        <v>12</v>
      </c>
      <c r="G33" s="13">
        <f>32.93325*E33*F33</f>
        <v>395.199</v>
      </c>
      <c r="H33" s="13">
        <f>0.379160034*E33*F33</f>
        <v>4.549920408</v>
      </c>
      <c r="I33" s="13">
        <f t="shared" si="6"/>
        <v>0</v>
      </c>
      <c r="J33" s="13">
        <f>29.7057915*E33*F33</f>
        <v>356.469498</v>
      </c>
      <c r="K33" s="13">
        <f>3.46600108437*E33*F33</f>
        <v>41.592013012440006</v>
      </c>
      <c r="L33" s="13">
        <f>5.5986525*E33*F33</f>
        <v>67.18383</v>
      </c>
      <c r="M33" s="13">
        <f t="shared" si="5"/>
        <v>864.9942614204399</v>
      </c>
      <c r="N33" s="16">
        <f>IF(N4&gt;0,(M33/$N$4/12),0)</f>
        <v>0</v>
      </c>
    </row>
    <row r="34" spans="2:14" ht="36">
      <c r="B34" s="8">
        <v>27</v>
      </c>
      <c r="C34" s="6" t="s">
        <v>61</v>
      </c>
      <c r="D34" s="6" t="s">
        <v>62</v>
      </c>
      <c r="E34" s="10">
        <v>1</v>
      </c>
      <c r="F34" s="10">
        <v>1</v>
      </c>
      <c r="G34" s="13">
        <f>1222.2756*E34*F34</f>
        <v>1222.2756</v>
      </c>
      <c r="H34" s="13">
        <f>96.147414*E34*F34</f>
        <v>96.147414</v>
      </c>
      <c r="I34" s="13">
        <f t="shared" si="6"/>
        <v>0</v>
      </c>
      <c r="J34" s="13">
        <f>1102.4925912*E34*F34</f>
        <v>1102.4925912</v>
      </c>
      <c r="K34" s="13">
        <f>133.150358286*E34*F34</f>
        <v>133.150358286</v>
      </c>
      <c r="L34" s="13">
        <f>207.786852*E34*F34</f>
        <v>207.786852</v>
      </c>
      <c r="M34" s="13">
        <f t="shared" si="5"/>
        <v>2761.852815486</v>
      </c>
      <c r="N34" s="16">
        <f>IF(N4&gt;0,(M34/$N$4/12),0)</f>
        <v>0</v>
      </c>
    </row>
    <row r="35" spans="2:14" ht="36">
      <c r="B35" s="8">
        <v>28</v>
      </c>
      <c r="C35" s="6" t="s">
        <v>63</v>
      </c>
      <c r="D35" s="6" t="s">
        <v>64</v>
      </c>
      <c r="E35" s="10">
        <v>1</v>
      </c>
      <c r="F35" s="10">
        <v>1</v>
      </c>
      <c r="G35" s="13">
        <f>2484.5889915*E35*F35</f>
        <v>2484.5889915</v>
      </c>
      <c r="H35" s="13">
        <f>0*E35*F35</f>
        <v>0</v>
      </c>
      <c r="I35" s="13">
        <f>5293.8798924*E35*F35</f>
        <v>5293.8798924</v>
      </c>
      <c r="J35" s="13">
        <f>3130.3462607098*E35*F35</f>
        <v>3130.3462607098</v>
      </c>
      <c r="K35" s="13">
        <f>599.98483295354*E35*F35</f>
        <v>599.98483295354</v>
      </c>
      <c r="L35" s="13">
        <f>589.976567983*E35*F35</f>
        <v>589.976567983</v>
      </c>
      <c r="M35" s="13">
        <f t="shared" si="5"/>
        <v>12098.77654554634</v>
      </c>
      <c r="N35" s="16">
        <f>IF(N4&gt;0,(M35/$N$4/12),0)</f>
        <v>0</v>
      </c>
    </row>
    <row r="36" spans="2:14" ht="24">
      <c r="B36" s="8">
        <v>29</v>
      </c>
      <c r="C36" s="6" t="s">
        <v>65</v>
      </c>
      <c r="D36" s="6" t="s">
        <v>66</v>
      </c>
      <c r="E36" s="10">
        <v>1</v>
      </c>
      <c r="F36" s="10">
        <v>1</v>
      </c>
      <c r="G36" s="13">
        <f>78.171912*E36*F36</f>
        <v>78.171912</v>
      </c>
      <c r="H36" s="13">
        <f>0*E36*F36</f>
        <v>0</v>
      </c>
      <c r="I36" s="13">
        <f>166.5598272*E36*F36</f>
        <v>166.5598272</v>
      </c>
      <c r="J36" s="13">
        <f>98.4891880544*E36*F36</f>
        <v>98.4891880544</v>
      </c>
      <c r="K36" s="13">
        <f>18.877150998992*E36*F36</f>
        <v>18.877150998992</v>
      </c>
      <c r="L36" s="13">
        <f>18.562263824*E36*F36</f>
        <v>18.562263824</v>
      </c>
      <c r="M36" s="13">
        <f t="shared" si="5"/>
        <v>380.66034207739204</v>
      </c>
      <c r="N36" s="16">
        <f>IF(N4&gt;0,(M36/$N$4/12),0)</f>
        <v>0</v>
      </c>
    </row>
    <row r="37" spans="2:14" ht="12.75">
      <c r="B37" s="39" t="s">
        <v>34</v>
      </c>
      <c r="C37" s="40"/>
      <c r="D37" s="40"/>
      <c r="E37" s="40"/>
      <c r="F37" s="40"/>
      <c r="G37" s="14">
        <f aca="true" t="shared" si="7" ref="G37:N37">SUM(G21:G36)</f>
        <v>60043.468747499996</v>
      </c>
      <c r="H37" s="14">
        <f t="shared" si="7"/>
        <v>1753.2455146680004</v>
      </c>
      <c r="I37" s="14">
        <f t="shared" si="7"/>
        <v>5548.6127196</v>
      </c>
      <c r="J37" s="14">
        <f t="shared" si="7"/>
        <v>55076.43392405221</v>
      </c>
      <c r="K37" s="14">
        <f t="shared" si="7"/>
        <v>6733.19684982011</v>
      </c>
      <c r="L37" s="14">
        <f t="shared" si="7"/>
        <v>10380.259165287001</v>
      </c>
      <c r="M37" s="14">
        <f t="shared" si="7"/>
        <v>139535.2169209273</v>
      </c>
      <c r="N37" s="17">
        <f t="shared" si="7"/>
        <v>0</v>
      </c>
    </row>
    <row r="38" spans="2:14" ht="27.75" customHeight="1">
      <c r="B38" s="44" t="s">
        <v>67</v>
      </c>
      <c r="C38" s="45"/>
      <c r="D38" s="45"/>
      <c r="E38" s="45"/>
      <c r="F38" s="45"/>
      <c r="G38" s="18">
        <f aca="true" t="shared" si="8" ref="G38:N38">G19+G37</f>
        <v>85488.82343413294</v>
      </c>
      <c r="H38" s="18">
        <f t="shared" si="8"/>
        <v>3548.2158676680006</v>
      </c>
      <c r="I38" s="18">
        <f t="shared" si="8"/>
        <v>5548.6127196</v>
      </c>
      <c r="J38" s="18">
        <f t="shared" si="8"/>
        <v>78028.14385139511</v>
      </c>
      <c r="K38" s="18">
        <f t="shared" si="8"/>
        <v>9493.758773003781</v>
      </c>
      <c r="L38" s="18">
        <f t="shared" si="8"/>
        <v>14705.969462014606</v>
      </c>
      <c r="M38" s="18">
        <f t="shared" si="8"/>
        <v>196813.52410781442</v>
      </c>
      <c r="N38" s="19">
        <f t="shared" si="8"/>
        <v>0</v>
      </c>
    </row>
    <row r="42" spans="3:14" ht="18">
      <c r="C42" s="46" t="s">
        <v>68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3:11" ht="19.5" customHeight="1">
      <c r="C43" s="47" t="s">
        <v>69</v>
      </c>
      <c r="D43" s="48"/>
      <c r="E43" s="49">
        <f>G38</f>
        <v>85488.82343413294</v>
      </c>
      <c r="F43" s="48"/>
      <c r="G43" s="47" t="s">
        <v>70</v>
      </c>
      <c r="H43" s="48"/>
      <c r="I43" s="48"/>
      <c r="J43" s="49">
        <f>J38</f>
        <v>78028.14385139511</v>
      </c>
      <c r="K43" s="48"/>
    </row>
    <row r="44" spans="3:11" ht="19.5" customHeight="1">
      <c r="C44" s="47" t="s">
        <v>71</v>
      </c>
      <c r="D44" s="48"/>
      <c r="E44" s="49">
        <f>H38</f>
        <v>3548.2158676680006</v>
      </c>
      <c r="F44" s="48"/>
      <c r="G44" s="47" t="s">
        <v>72</v>
      </c>
      <c r="H44" s="48"/>
      <c r="I44" s="48"/>
      <c r="J44" s="49">
        <f>K38</f>
        <v>9493.758773003781</v>
      </c>
      <c r="K44" s="48"/>
    </row>
    <row r="45" spans="3:11" ht="19.5" customHeight="1">
      <c r="C45" s="47" t="s">
        <v>73</v>
      </c>
      <c r="D45" s="48"/>
      <c r="E45" s="49">
        <f>I38</f>
        <v>5548.6127196</v>
      </c>
      <c r="F45" s="48"/>
      <c r="G45" s="47" t="s">
        <v>74</v>
      </c>
      <c r="H45" s="48"/>
      <c r="I45" s="48"/>
      <c r="J45" s="49">
        <f>L38</f>
        <v>14705.969462014606</v>
      </c>
      <c r="K45" s="48"/>
    </row>
    <row r="46" spans="3:11" ht="15">
      <c r="C46" s="4"/>
      <c r="E46" s="20"/>
      <c r="G46" s="47" t="s">
        <v>75</v>
      </c>
      <c r="H46" s="48"/>
      <c r="I46" s="48"/>
      <c r="J46" s="49">
        <f>M38</f>
        <v>196813.52410781442</v>
      </c>
      <c r="K46" s="48"/>
    </row>
  </sheetData>
  <sheetProtection formatCells="0" formatColumns="0" formatRows="0" insertColumns="0" insertRows="0" insertHyperlinks="0" deleteColumns="0" deleteRows="0" sort="0" autoFilter="0" pivotTables="0"/>
  <mergeCells count="22">
    <mergeCell ref="G46:I46"/>
    <mergeCell ref="J46:K46"/>
    <mergeCell ref="C44:D44"/>
    <mergeCell ref="E44:F44"/>
    <mergeCell ref="G44:I44"/>
    <mergeCell ref="J44:K44"/>
    <mergeCell ref="C45:D45"/>
    <mergeCell ref="E45:F45"/>
    <mergeCell ref="G45:I45"/>
    <mergeCell ref="J45:K45"/>
    <mergeCell ref="B38:F38"/>
    <mergeCell ref="C42:N42"/>
    <mergeCell ref="C43:D43"/>
    <mergeCell ref="E43:F43"/>
    <mergeCell ref="G43:I43"/>
    <mergeCell ref="J43:K43"/>
    <mergeCell ref="B5:N5"/>
    <mergeCell ref="B19:F19"/>
    <mergeCell ref="B20:N20"/>
    <mergeCell ref="B4:N4"/>
    <mergeCell ref="L1:N1"/>
    <mergeCell ref="B37:F37"/>
  </mergeCells>
  <printOptions/>
  <pageMargins left="0.35" right="0.35" top="0.35" bottom="0.35" header="0.3" footer="0.3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B1">
      <selection activeCell="B58" sqref="B58:G58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4" t="s">
        <v>76</v>
      </c>
      <c r="C1" s="54"/>
      <c r="D1" s="54"/>
      <c r="E1" s="54"/>
      <c r="F1" s="54"/>
      <c r="G1" s="54"/>
    </row>
    <row r="3" spans="1:7" ht="27">
      <c r="A3" s="21"/>
      <c r="B3" s="22" t="s">
        <v>0</v>
      </c>
      <c r="C3" s="22" t="s">
        <v>77</v>
      </c>
      <c r="D3" s="22" t="s">
        <v>78</v>
      </c>
      <c r="E3" s="22" t="s">
        <v>3</v>
      </c>
      <c r="F3" s="22" t="s">
        <v>79</v>
      </c>
      <c r="G3" s="23" t="s">
        <v>11</v>
      </c>
    </row>
    <row r="4" spans="2:7" ht="16.5">
      <c r="B4" s="53" t="s">
        <v>80</v>
      </c>
      <c r="C4" s="53"/>
      <c r="D4" s="53"/>
      <c r="E4" s="53"/>
      <c r="F4" s="53"/>
      <c r="G4" s="53"/>
    </row>
    <row r="5" spans="2:7" ht="12">
      <c r="B5" s="24">
        <v>1</v>
      </c>
      <c r="C5" s="26" t="s">
        <v>81</v>
      </c>
      <c r="D5" s="26" t="s">
        <v>82</v>
      </c>
      <c r="E5" s="27">
        <v>6.819</v>
      </c>
      <c r="F5" s="28">
        <v>246.67649999999998</v>
      </c>
      <c r="G5" s="30">
        <f aca="true" t="shared" si="0" ref="G5:G24">E5*F5</f>
        <v>1682.0870535</v>
      </c>
    </row>
    <row r="6" spans="2:7" ht="12">
      <c r="B6" s="25">
        <v>2</v>
      </c>
      <c r="C6" s="6" t="s">
        <v>83</v>
      </c>
      <c r="D6" s="6" t="s">
        <v>82</v>
      </c>
      <c r="E6" s="11">
        <v>6.819</v>
      </c>
      <c r="F6" s="13">
        <v>129.15</v>
      </c>
      <c r="G6" s="31">
        <f t="shared" si="0"/>
        <v>880.67385</v>
      </c>
    </row>
    <row r="7" spans="2:7" ht="12">
      <c r="B7" s="25">
        <v>3</v>
      </c>
      <c r="C7" s="6" t="s">
        <v>84</v>
      </c>
      <c r="D7" s="6" t="s">
        <v>82</v>
      </c>
      <c r="E7" s="11">
        <v>350.3604</v>
      </c>
      <c r="F7" s="13">
        <v>129.15</v>
      </c>
      <c r="G7" s="31">
        <f t="shared" si="0"/>
        <v>45249.04566</v>
      </c>
    </row>
    <row r="8" spans="2:7" ht="12">
      <c r="B8" s="25">
        <v>4</v>
      </c>
      <c r="C8" s="6" t="s">
        <v>85</v>
      </c>
      <c r="D8" s="6" t="s">
        <v>82</v>
      </c>
      <c r="E8" s="11">
        <v>5.6</v>
      </c>
      <c r="F8" s="13">
        <v>218.2635</v>
      </c>
      <c r="G8" s="31">
        <f t="shared" si="0"/>
        <v>1222.2756</v>
      </c>
    </row>
    <row r="9" spans="2:7" ht="12">
      <c r="B9" s="25">
        <v>5</v>
      </c>
      <c r="C9" s="6" t="s">
        <v>86</v>
      </c>
      <c r="D9" s="6" t="s">
        <v>82</v>
      </c>
      <c r="E9" s="11">
        <v>2.28</v>
      </c>
      <c r="F9" s="13">
        <v>246.67649999999998</v>
      </c>
      <c r="G9" s="31">
        <f t="shared" si="0"/>
        <v>562.4224199999999</v>
      </c>
    </row>
    <row r="10" spans="2:7" ht="12">
      <c r="B10" s="25">
        <v>6</v>
      </c>
      <c r="C10" s="6" t="s">
        <v>87</v>
      </c>
      <c r="D10" s="6" t="s">
        <v>82</v>
      </c>
      <c r="E10" s="11">
        <v>0.039</v>
      </c>
      <c r="F10" s="13">
        <v>218.2635</v>
      </c>
      <c r="G10" s="31">
        <f t="shared" si="0"/>
        <v>8.5122765</v>
      </c>
    </row>
    <row r="11" spans="2:7" ht="24">
      <c r="B11" s="25">
        <v>7</v>
      </c>
      <c r="C11" s="6" t="s">
        <v>88</v>
      </c>
      <c r="D11" s="6" t="s">
        <v>82</v>
      </c>
      <c r="E11" s="11">
        <v>1.3</v>
      </c>
      <c r="F11" s="29">
        <v>0.1</v>
      </c>
      <c r="G11" s="31">
        <f t="shared" si="0"/>
        <v>0.13</v>
      </c>
    </row>
    <row r="12" spans="2:7" ht="12">
      <c r="B12" s="25">
        <v>8</v>
      </c>
      <c r="C12" s="6" t="s">
        <v>89</v>
      </c>
      <c r="D12" s="6" t="s">
        <v>82</v>
      </c>
      <c r="E12" s="11">
        <v>4.32</v>
      </c>
      <c r="F12" s="13">
        <v>246.67649999999998</v>
      </c>
      <c r="G12" s="31">
        <f t="shared" si="0"/>
        <v>1065.64248</v>
      </c>
    </row>
    <row r="13" spans="2:7" ht="12">
      <c r="B13" s="25">
        <v>9</v>
      </c>
      <c r="C13" s="6" t="s">
        <v>90</v>
      </c>
      <c r="D13" s="6" t="s">
        <v>82</v>
      </c>
      <c r="E13" s="11">
        <v>9.3</v>
      </c>
      <c r="F13" s="13">
        <v>129.15</v>
      </c>
      <c r="G13" s="31">
        <f t="shared" si="0"/>
        <v>1201.0950000000003</v>
      </c>
    </row>
    <row r="14" spans="2:7" ht="12">
      <c r="B14" s="25">
        <v>10</v>
      </c>
      <c r="C14" s="6" t="s">
        <v>91</v>
      </c>
      <c r="D14" s="6" t="s">
        <v>82</v>
      </c>
      <c r="E14" s="11">
        <v>1.47</v>
      </c>
      <c r="F14" s="13">
        <v>167.895</v>
      </c>
      <c r="G14" s="31">
        <f t="shared" si="0"/>
        <v>246.80565</v>
      </c>
    </row>
    <row r="15" spans="2:7" ht="24">
      <c r="B15" s="25">
        <v>11</v>
      </c>
      <c r="C15" s="6" t="s">
        <v>92</v>
      </c>
      <c r="D15" s="6" t="s">
        <v>82</v>
      </c>
      <c r="E15" s="11">
        <v>56.2792</v>
      </c>
      <c r="F15" s="13">
        <v>167.895</v>
      </c>
      <c r="G15" s="31">
        <f t="shared" si="0"/>
        <v>9448.996284</v>
      </c>
    </row>
    <row r="16" spans="2:7" ht="24">
      <c r="B16" s="25">
        <v>12</v>
      </c>
      <c r="C16" s="6" t="s">
        <v>93</v>
      </c>
      <c r="D16" s="6" t="s">
        <v>82</v>
      </c>
      <c r="E16" s="11">
        <v>1.2</v>
      </c>
      <c r="F16" s="13">
        <v>246.67649999999998</v>
      </c>
      <c r="G16" s="31">
        <f t="shared" si="0"/>
        <v>296.01179999999994</v>
      </c>
    </row>
    <row r="17" spans="2:7" ht="24">
      <c r="B17" s="25">
        <v>13</v>
      </c>
      <c r="C17" s="6" t="s">
        <v>94</v>
      </c>
      <c r="D17" s="6" t="s">
        <v>82</v>
      </c>
      <c r="E17" s="11">
        <v>14.28</v>
      </c>
      <c r="F17" s="13">
        <v>246.67649999999998</v>
      </c>
      <c r="G17" s="31">
        <f t="shared" si="0"/>
        <v>3522.5404199999994</v>
      </c>
    </row>
    <row r="18" spans="2:7" ht="12">
      <c r="B18" s="25">
        <v>14</v>
      </c>
      <c r="C18" s="6" t="s">
        <v>95</v>
      </c>
      <c r="D18" s="6" t="s">
        <v>82</v>
      </c>
      <c r="E18" s="11">
        <v>1.26</v>
      </c>
      <c r="F18" s="13">
        <v>218.2635</v>
      </c>
      <c r="G18" s="31">
        <f t="shared" si="0"/>
        <v>275.01201</v>
      </c>
    </row>
    <row r="19" spans="2:7" ht="12">
      <c r="B19" s="25">
        <v>15</v>
      </c>
      <c r="C19" s="6" t="s">
        <v>96</v>
      </c>
      <c r="D19" s="6" t="s">
        <v>82</v>
      </c>
      <c r="E19" s="11">
        <v>27.36</v>
      </c>
      <c r="F19" s="13">
        <v>246.67649999999998</v>
      </c>
      <c r="G19" s="31">
        <f t="shared" si="0"/>
        <v>6749.069039999999</v>
      </c>
    </row>
    <row r="20" spans="2:7" ht="12">
      <c r="B20" s="25">
        <v>16</v>
      </c>
      <c r="C20" s="6" t="s">
        <v>97</v>
      </c>
      <c r="D20" s="6" t="s">
        <v>82</v>
      </c>
      <c r="E20" s="11">
        <v>0.67</v>
      </c>
      <c r="F20" s="13">
        <v>167.895</v>
      </c>
      <c r="G20" s="31">
        <f t="shared" si="0"/>
        <v>112.48965000000001</v>
      </c>
    </row>
    <row r="21" spans="2:7" ht="12">
      <c r="B21" s="25">
        <v>17</v>
      </c>
      <c r="C21" s="6" t="s">
        <v>98</v>
      </c>
      <c r="D21" s="6" t="s">
        <v>82</v>
      </c>
      <c r="E21" s="11">
        <v>3.9</v>
      </c>
      <c r="F21" s="13">
        <v>246.67649999999998</v>
      </c>
      <c r="G21" s="31">
        <f t="shared" si="0"/>
        <v>962.0383499999999</v>
      </c>
    </row>
    <row r="22" spans="2:7" ht="24">
      <c r="B22" s="25">
        <v>18</v>
      </c>
      <c r="C22" s="6" t="s">
        <v>99</v>
      </c>
      <c r="D22" s="6" t="s">
        <v>100</v>
      </c>
      <c r="E22" s="11">
        <v>14.28</v>
      </c>
      <c r="F22" s="13">
        <v>278.964</v>
      </c>
      <c r="G22" s="31">
        <f t="shared" si="0"/>
        <v>3983.60592</v>
      </c>
    </row>
    <row r="23" spans="2:7" ht="24">
      <c r="B23" s="25">
        <v>19</v>
      </c>
      <c r="C23" s="6" t="s">
        <v>101</v>
      </c>
      <c r="D23" s="6" t="s">
        <v>82</v>
      </c>
      <c r="E23" s="11">
        <v>7</v>
      </c>
      <c r="F23" s="13">
        <v>218.2635</v>
      </c>
      <c r="G23" s="31">
        <f t="shared" si="0"/>
        <v>1527.8445</v>
      </c>
    </row>
    <row r="24" spans="2:7" ht="24">
      <c r="B24" s="25">
        <v>20</v>
      </c>
      <c r="C24" s="6" t="s">
        <v>102</v>
      </c>
      <c r="D24" s="6" t="s">
        <v>82</v>
      </c>
      <c r="E24" s="11">
        <v>26.31999996</v>
      </c>
      <c r="F24" s="13">
        <v>246.67649999999998</v>
      </c>
      <c r="G24" s="31">
        <f t="shared" si="0"/>
        <v>6492.5254701329395</v>
      </c>
    </row>
    <row r="25" spans="2:7" ht="12">
      <c r="B25" s="50" t="s">
        <v>103</v>
      </c>
      <c r="C25" s="51"/>
      <c r="D25" s="51"/>
      <c r="E25" s="51"/>
      <c r="F25" s="52"/>
      <c r="G25" s="32">
        <f>SUM(G5:G24)</f>
        <v>85488.82343413297</v>
      </c>
    </row>
    <row r="26" spans="2:7" ht="16.5">
      <c r="B26" s="53" t="s">
        <v>104</v>
      </c>
      <c r="C26" s="53"/>
      <c r="D26" s="53"/>
      <c r="E26" s="53"/>
      <c r="F26" s="53"/>
      <c r="G26" s="53"/>
    </row>
    <row r="27" spans="2:7" ht="12">
      <c r="B27" s="24">
        <v>21</v>
      </c>
      <c r="C27" s="26" t="s">
        <v>105</v>
      </c>
      <c r="D27" s="26" t="s">
        <v>106</v>
      </c>
      <c r="E27" s="27">
        <v>0.54</v>
      </c>
      <c r="F27" s="33">
        <v>0.1</v>
      </c>
      <c r="G27" s="30">
        <f aca="true" t="shared" si="1" ref="G27:G40">E27*F27</f>
        <v>0.054000000000000006</v>
      </c>
    </row>
    <row r="28" spans="2:7" ht="12">
      <c r="B28" s="25">
        <v>22</v>
      </c>
      <c r="C28" s="6" t="s">
        <v>107</v>
      </c>
      <c r="D28" s="6" t="s">
        <v>108</v>
      </c>
      <c r="E28" s="11">
        <v>4.74</v>
      </c>
      <c r="F28" s="13">
        <v>0</v>
      </c>
      <c r="G28" s="31">
        <f t="shared" si="1"/>
        <v>0</v>
      </c>
    </row>
    <row r="29" spans="2:7" ht="12">
      <c r="B29" s="25">
        <v>23</v>
      </c>
      <c r="C29" s="6" t="s">
        <v>109</v>
      </c>
      <c r="D29" s="6" t="s">
        <v>110</v>
      </c>
      <c r="E29" s="11">
        <v>2.919</v>
      </c>
      <c r="F29" s="13">
        <v>368.4912000000001</v>
      </c>
      <c r="G29" s="31">
        <f t="shared" si="1"/>
        <v>1075.6258128000004</v>
      </c>
    </row>
    <row r="30" spans="2:7" ht="12">
      <c r="B30" s="25">
        <v>24</v>
      </c>
      <c r="C30" s="6" t="s">
        <v>111</v>
      </c>
      <c r="D30" s="6" t="s">
        <v>106</v>
      </c>
      <c r="E30" s="11">
        <v>0.06</v>
      </c>
      <c r="F30" s="13">
        <v>147.84</v>
      </c>
      <c r="G30" s="31">
        <f t="shared" si="1"/>
        <v>8.8704</v>
      </c>
    </row>
    <row r="31" spans="2:7" ht="12">
      <c r="B31" s="25">
        <v>25</v>
      </c>
      <c r="C31" s="6" t="s">
        <v>112</v>
      </c>
      <c r="D31" s="6" t="s">
        <v>106</v>
      </c>
      <c r="E31" s="11">
        <v>1.395</v>
      </c>
      <c r="F31" s="13">
        <v>58.660799999999995</v>
      </c>
      <c r="G31" s="31">
        <f t="shared" si="1"/>
        <v>81.83181599999999</v>
      </c>
    </row>
    <row r="32" spans="2:7" ht="24">
      <c r="B32" s="25">
        <v>26</v>
      </c>
      <c r="C32" s="6" t="s">
        <v>113</v>
      </c>
      <c r="D32" s="6" t="s">
        <v>106</v>
      </c>
      <c r="E32" s="11">
        <v>0.2</v>
      </c>
      <c r="F32" s="13">
        <v>153.17280000000002</v>
      </c>
      <c r="G32" s="31">
        <f t="shared" si="1"/>
        <v>30.634560000000008</v>
      </c>
    </row>
    <row r="33" spans="2:7" ht="12">
      <c r="B33" s="25">
        <v>27</v>
      </c>
      <c r="C33" s="6" t="s">
        <v>114</v>
      </c>
      <c r="D33" s="6" t="s">
        <v>106</v>
      </c>
      <c r="E33" s="11">
        <v>5</v>
      </c>
      <c r="F33" s="13">
        <v>112.00200000000001</v>
      </c>
      <c r="G33" s="31">
        <f t="shared" si="1"/>
        <v>560.01</v>
      </c>
    </row>
    <row r="34" spans="2:7" ht="12">
      <c r="B34" s="25">
        <v>28</v>
      </c>
      <c r="C34" s="6" t="s">
        <v>115</v>
      </c>
      <c r="D34" s="6" t="s">
        <v>106</v>
      </c>
      <c r="E34" s="11">
        <v>0.045</v>
      </c>
      <c r="F34" s="13">
        <v>121.0044</v>
      </c>
      <c r="G34" s="31">
        <f t="shared" si="1"/>
        <v>5.4451979999999995</v>
      </c>
    </row>
    <row r="35" spans="2:7" ht="12">
      <c r="B35" s="25">
        <v>29</v>
      </c>
      <c r="C35" s="6" t="s">
        <v>116</v>
      </c>
      <c r="D35" s="6" t="s">
        <v>117</v>
      </c>
      <c r="E35" s="11">
        <v>0.010314</v>
      </c>
      <c r="F35" s="13">
        <v>5119.4220000000005</v>
      </c>
      <c r="G35" s="31">
        <f t="shared" si="1"/>
        <v>52.80171850800001</v>
      </c>
    </row>
    <row r="36" spans="2:7" ht="12">
      <c r="B36" s="25">
        <v>30</v>
      </c>
      <c r="C36" s="6" t="s">
        <v>118</v>
      </c>
      <c r="D36" s="6" t="s">
        <v>106</v>
      </c>
      <c r="E36" s="11">
        <v>2.52</v>
      </c>
      <c r="F36" s="13">
        <v>442.10760000000005</v>
      </c>
      <c r="G36" s="31">
        <f t="shared" si="1"/>
        <v>1114.1111520000002</v>
      </c>
    </row>
    <row r="37" spans="2:7" ht="12">
      <c r="B37" s="25">
        <v>31</v>
      </c>
      <c r="C37" s="6" t="s">
        <v>119</v>
      </c>
      <c r="D37" s="6" t="s">
        <v>106</v>
      </c>
      <c r="E37" s="11">
        <v>0.72</v>
      </c>
      <c r="F37" s="13">
        <v>82.1436</v>
      </c>
      <c r="G37" s="31">
        <f t="shared" si="1"/>
        <v>59.143392000000006</v>
      </c>
    </row>
    <row r="38" spans="2:7" ht="24">
      <c r="B38" s="25">
        <v>32</v>
      </c>
      <c r="C38" s="6" t="s">
        <v>120</v>
      </c>
      <c r="D38" s="6" t="s">
        <v>121</v>
      </c>
      <c r="E38" s="11">
        <v>9.6E-05</v>
      </c>
      <c r="F38" s="13">
        <v>68118.6</v>
      </c>
      <c r="G38" s="31">
        <f t="shared" si="1"/>
        <v>6.539385600000001</v>
      </c>
    </row>
    <row r="39" spans="2:7" ht="12">
      <c r="B39" s="25">
        <v>33</v>
      </c>
      <c r="C39" s="6" t="s">
        <v>122</v>
      </c>
      <c r="D39" s="6" t="s">
        <v>123</v>
      </c>
      <c r="E39" s="11">
        <v>0.6507</v>
      </c>
      <c r="F39" s="13">
        <v>610.4340000000001</v>
      </c>
      <c r="G39" s="31">
        <f t="shared" si="1"/>
        <v>397.2094038</v>
      </c>
    </row>
    <row r="40" spans="2:7" ht="12">
      <c r="B40" s="25">
        <v>34</v>
      </c>
      <c r="C40" s="6" t="s">
        <v>124</v>
      </c>
      <c r="D40" s="6" t="s">
        <v>106</v>
      </c>
      <c r="E40" s="11">
        <v>0.246</v>
      </c>
      <c r="F40" s="13">
        <v>107.25000000000001</v>
      </c>
      <c r="G40" s="31">
        <f t="shared" si="1"/>
        <v>26.3835</v>
      </c>
    </row>
    <row r="41" spans="2:7" ht="12">
      <c r="B41" s="50" t="s">
        <v>103</v>
      </c>
      <c r="C41" s="51"/>
      <c r="D41" s="51"/>
      <c r="E41" s="51"/>
      <c r="F41" s="52"/>
      <c r="G41" s="32">
        <f>SUM(G27:G40)</f>
        <v>3418.6603387080004</v>
      </c>
    </row>
    <row r="42" spans="2:7" ht="16.5">
      <c r="B42" s="53" t="s">
        <v>125</v>
      </c>
      <c r="C42" s="53"/>
      <c r="D42" s="53"/>
      <c r="E42" s="53"/>
      <c r="F42" s="53"/>
      <c r="G42" s="53"/>
    </row>
    <row r="43" spans="2:7" ht="12">
      <c r="B43" s="24">
        <v>35</v>
      </c>
      <c r="C43" s="26" t="s">
        <v>126</v>
      </c>
      <c r="D43" s="26" t="s">
        <v>127</v>
      </c>
      <c r="E43" s="27">
        <v>0.02522</v>
      </c>
      <c r="F43" s="28">
        <v>159.456</v>
      </c>
      <c r="G43" s="30">
        <f aca="true" t="shared" si="2" ref="G43:G52">E43*F43</f>
        <v>4.021480319999999</v>
      </c>
    </row>
    <row r="44" spans="2:7" ht="12">
      <c r="B44" s="25">
        <v>36</v>
      </c>
      <c r="C44" s="6" t="s">
        <v>128</v>
      </c>
      <c r="D44" s="6" t="s">
        <v>127</v>
      </c>
      <c r="E44" s="11">
        <v>0.156</v>
      </c>
      <c r="F44" s="13">
        <v>109.56000000000002</v>
      </c>
      <c r="G44" s="31">
        <f t="shared" si="2"/>
        <v>17.09136</v>
      </c>
    </row>
    <row r="45" spans="2:7" ht="12">
      <c r="B45" s="25">
        <v>37</v>
      </c>
      <c r="C45" s="6" t="s">
        <v>129</v>
      </c>
      <c r="D45" s="6" t="s">
        <v>127</v>
      </c>
      <c r="E45" s="11">
        <v>0.00024</v>
      </c>
      <c r="F45" s="13">
        <v>157.344</v>
      </c>
      <c r="G45" s="31">
        <f t="shared" si="2"/>
        <v>0.03776256</v>
      </c>
    </row>
    <row r="46" spans="2:7" ht="12">
      <c r="B46" s="25">
        <v>38</v>
      </c>
      <c r="C46" s="6" t="s">
        <v>130</v>
      </c>
      <c r="D46" s="6" t="s">
        <v>127</v>
      </c>
      <c r="E46" s="11">
        <v>0.192</v>
      </c>
      <c r="F46" s="13">
        <v>187.96800000000002</v>
      </c>
      <c r="G46" s="31">
        <f t="shared" si="2"/>
        <v>36.089856000000005</v>
      </c>
    </row>
    <row r="47" spans="2:7" ht="12">
      <c r="B47" s="25">
        <v>39</v>
      </c>
      <c r="C47" s="6" t="s">
        <v>131</v>
      </c>
      <c r="D47" s="6" t="s">
        <v>127</v>
      </c>
      <c r="E47" s="11">
        <v>0.4746</v>
      </c>
      <c r="F47" s="13">
        <v>86.592</v>
      </c>
      <c r="G47" s="31">
        <f t="shared" si="2"/>
        <v>41.0965632</v>
      </c>
    </row>
    <row r="48" spans="2:7" ht="12">
      <c r="B48" s="25">
        <v>40</v>
      </c>
      <c r="C48" s="6" t="s">
        <v>132</v>
      </c>
      <c r="D48" s="6" t="s">
        <v>127</v>
      </c>
      <c r="E48" s="11">
        <v>0.1944</v>
      </c>
      <c r="F48" s="13">
        <v>146.784</v>
      </c>
      <c r="G48" s="31">
        <f t="shared" si="2"/>
        <v>28.534809599999996</v>
      </c>
    </row>
    <row r="49" spans="2:7" ht="12">
      <c r="B49" s="25">
        <v>41</v>
      </c>
      <c r="C49" s="6" t="s">
        <v>133</v>
      </c>
      <c r="D49" s="6" t="s">
        <v>127</v>
      </c>
      <c r="E49" s="11">
        <v>0.0065</v>
      </c>
      <c r="F49" s="13">
        <v>104.544</v>
      </c>
      <c r="G49" s="31">
        <f t="shared" si="2"/>
        <v>0.6795359999999999</v>
      </c>
    </row>
    <row r="50" spans="2:7" ht="12">
      <c r="B50" s="25">
        <v>42</v>
      </c>
      <c r="C50" s="6" t="s">
        <v>134</v>
      </c>
      <c r="D50" s="6" t="s">
        <v>127</v>
      </c>
      <c r="E50" s="11">
        <v>0.0066</v>
      </c>
      <c r="F50" s="13">
        <v>72.864</v>
      </c>
      <c r="G50" s="31">
        <f t="shared" si="2"/>
        <v>0.4809024</v>
      </c>
    </row>
    <row r="51" spans="2:7" ht="12">
      <c r="B51" s="25">
        <v>43</v>
      </c>
      <c r="C51" s="6" t="s">
        <v>135</v>
      </c>
      <c r="D51" s="6" t="s">
        <v>127</v>
      </c>
      <c r="E51" s="11">
        <v>0.00924</v>
      </c>
      <c r="F51" s="13">
        <v>153.12</v>
      </c>
      <c r="G51" s="31">
        <f t="shared" si="2"/>
        <v>1.4148288</v>
      </c>
    </row>
    <row r="52" spans="2:7" ht="12">
      <c r="B52" s="25">
        <v>44</v>
      </c>
      <c r="C52" s="6" t="s">
        <v>136</v>
      </c>
      <c r="D52" s="6" t="s">
        <v>127</v>
      </c>
      <c r="E52" s="11">
        <v>0.00034</v>
      </c>
      <c r="F52" s="13">
        <v>318.912</v>
      </c>
      <c r="G52" s="31">
        <f t="shared" si="2"/>
        <v>0.10843008</v>
      </c>
    </row>
    <row r="53" spans="2:7" ht="12">
      <c r="B53" s="50" t="s">
        <v>103</v>
      </c>
      <c r="C53" s="51"/>
      <c r="D53" s="51"/>
      <c r="E53" s="51"/>
      <c r="F53" s="52"/>
      <c r="G53" s="32">
        <f>SUM(G43:G52)</f>
        <v>129.55552896</v>
      </c>
    </row>
    <row r="54" spans="2:7" ht="16.5">
      <c r="B54" s="53" t="s">
        <v>137</v>
      </c>
      <c r="C54" s="53"/>
      <c r="D54" s="53"/>
      <c r="E54" s="53"/>
      <c r="F54" s="53"/>
      <c r="G54" s="53"/>
    </row>
    <row r="55" spans="2:7" ht="12">
      <c r="B55" s="24">
        <v>45</v>
      </c>
      <c r="C55" s="26" t="s">
        <v>138</v>
      </c>
      <c r="D55" s="26" t="s">
        <v>139</v>
      </c>
      <c r="E55" s="27">
        <v>1.125</v>
      </c>
      <c r="F55" s="28">
        <v>78.37599999999999</v>
      </c>
      <c r="G55" s="30">
        <f>E55*F55</f>
        <v>88.17299999999999</v>
      </c>
    </row>
    <row r="56" spans="2:7" ht="12">
      <c r="B56" s="25">
        <v>46</v>
      </c>
      <c r="C56" s="6" t="s">
        <v>140</v>
      </c>
      <c r="D56" s="6" t="s">
        <v>141</v>
      </c>
      <c r="E56" s="11">
        <v>6.611</v>
      </c>
      <c r="F56" s="13">
        <v>800.7684</v>
      </c>
      <c r="G56" s="31">
        <f>E56*F56</f>
        <v>5293.8798924</v>
      </c>
    </row>
    <row r="57" spans="2:7" ht="12">
      <c r="B57" s="25">
        <v>47</v>
      </c>
      <c r="C57" s="6" t="s">
        <v>142</v>
      </c>
      <c r="D57" s="6" t="s">
        <v>141</v>
      </c>
      <c r="E57" s="11">
        <v>0.208</v>
      </c>
      <c r="F57" s="13">
        <v>800.7684</v>
      </c>
      <c r="G57" s="31">
        <f>E57*F57</f>
        <v>166.5598272</v>
      </c>
    </row>
    <row r="58" spans="2:7" ht="12">
      <c r="B58" s="50" t="s">
        <v>103</v>
      </c>
      <c r="C58" s="51"/>
      <c r="D58" s="51"/>
      <c r="E58" s="51"/>
      <c r="F58" s="52"/>
      <c r="G58" s="32">
        <f>SUM(G55:G57)</f>
        <v>5548.6127196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3:F53"/>
    <mergeCell ref="B54:G54"/>
    <mergeCell ref="B58:F58"/>
    <mergeCell ref="B1:G1"/>
    <mergeCell ref="B4:G4"/>
    <mergeCell ref="B25:F25"/>
    <mergeCell ref="B26:G26"/>
    <mergeCell ref="B41:F41"/>
    <mergeCell ref="B42:G42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FedorovaYN</cp:lastModifiedBy>
  <cp:lastPrinted>2021-06-08T10:55:39Z</cp:lastPrinted>
  <dcterms:created xsi:type="dcterms:W3CDTF">2021-05-28T10:19:16Z</dcterms:created>
  <dcterms:modified xsi:type="dcterms:W3CDTF">2021-06-08T10:56:30Z</dcterms:modified>
  <cp:category>ÑÐ¼ÐµÑ‚Ð°</cp:category>
  <cp:version/>
  <cp:contentType/>
  <cp:contentStatus/>
</cp:coreProperties>
</file>